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<sst xmlns="http://schemas.openxmlformats.org/spreadsheetml/2006/main" count="121" uniqueCount="108">
  <si>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Alphabet Inc. (GOOGL)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</si>
  <si>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</si>
  <si>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</si>
  <si>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</si>
  <si>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</si>
  <si>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</si>
  <si>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</si>
  <si>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</si>
  <si>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</si>
  <si>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</si>
  <si>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</si>
  <si>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</si>
  <si>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</si>
  <si>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</si>
  <si>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</si>
  <si>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</si>
  <si>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</si>
  <si>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</si>
  <si>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</si>
  <si>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</si>
  <si>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</si>
  <si>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</si>
  <si>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</si>
  <si>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</si>
  <si>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175.3x interest cover. Book interest / average debt was lower, at 1.8%.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</si>
  <si>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</si>
  <si>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</si>
  <si>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</si>
  <si>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</si>
  <si>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</si>
  <si>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</si>
  <si>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</si>
  <si>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</si>
  <si>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</si>
  <si>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</si>
  <si>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</si>
  <si>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</si>
  <si>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</si>
  <si>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</si>
  <si>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</si>
  <si>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</si>
  <si>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</si>
  <si>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</si>
  <si>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</si>
  <si>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</si>
  <si>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</si>
  <si>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</si>
  <si>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</si>
  <si>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</si>
  <si>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</si>
  <si>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</si>
  <si>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</si>
  <si>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</si>
  <si>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</si>
  <si>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</si>
  <si>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</si>
  <si>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</si>
  <si>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</si>
  <si>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</si>
  <si>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</si>
  <si>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</si>
  <si>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</si>
  <si>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</si>
  <si>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</si>
  <si>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</si>
  <si>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</si>
  <si>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</si>
  <si>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</si>
  <si>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</si>
  <si>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</si>
  <si>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</si>
  <si>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</si>
  <si>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</si>
  <si>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</si>
  <si>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</si>
  <si>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</si>
  <si>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</si>
  <si>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</si>
  <si>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</si>
  <si>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</si>
  <si>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</si>
  <si>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</si>
  <si>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</si>
  <si>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</si>
  <si>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</si>
  <si>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</si>
  <si>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</si>
  <si>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</si>
  <si>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</si>
  <si>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</si>
  <si>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</si>
  <si>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</si>
  <si>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</si>
  <si>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</si>
  <si>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</si>
  <si>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</si>
  <si>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</si>
  <si>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</si>
  <si>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</si>
  <si>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</si>
  <si>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</si>
  <si>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</si>
  <si>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</si>
  <si>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</si>
  <si>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</si>
  <si>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14.8% of revenue against depreciation of 4.6%.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</si>
  <si>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22.5x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</si>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</sst>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0.24013407158248024</v>
      </c>
    </row>
    <row r="7" spans="1:2" x14ac:dyDescent="0.25">
      <c r="A7" t="s">
        <v>4</v>
      </c>
      <c r="B7" s="5">
        <v>0.29506374272882846</v>
      </c>
    </row>
    <row r="8" spans="1:2" x14ac:dyDescent="0.25">
      <c r="A8" t="s">
        <v>5</v>
      </c>
      <c r="B8" s="5">
        <v>0.16180163711151296</v>
      </c>
    </row>
    <row r="9" spans="1:2" x14ac:dyDescent="0.25">
      <c r="A9" t="s">
        <v>6</v>
      </c>
      <c r="B9" s="5">
        <v>0.0456790233526975</v>
      </c>
    </row>
    <row r="10" spans="1:3" x14ac:dyDescent="0.25">
      <c r="A10" t="s">
        <v>7</v>
      </c>
      <c r="B10" s="5">
        <v>0.14833417212723063</v>
      </c>
      <c r="C10" s="6" t="s">
        <v>8</v>
      </c>
    </row>
    <row r="11" spans="1:2" x14ac:dyDescent="0.25">
      <c r="A11" t="s">
        <v>9</v>
      </c>
      <c r="B11" s="5">
        <v>0.1291873665571649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0.23675621084067583</v>
      </c>
      <c r="C14" s="6" t="s">
        <v>13</v>
      </c>
    </row>
    <row r="15" spans="1:3" x14ac:dyDescent="0.25">
      <c r="A15" t="s">
        <v>14</v>
      </c>
      <c r="B15" s="5">
        <v>0.0456790233526975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1.1413700000000002</v>
      </c>
      <c r="C19" s="6" t="s">
        <v>21</v>
      </c>
    </row>
    <row r="20" spans="1:2" x14ac:dyDescent="0.25">
      <c r="A20" t="s">
        <v>22</v>
      </c>
      <c r="B20" s="9">
        <f>B17+B19*B18</f>
        <v>0.09721995100000001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3440352690176</v>
      </c>
    </row>
    <row r="23" spans="1:2" x14ac:dyDescent="0.25">
      <c r="A23" t="s">
        <v>26</v>
      </c>
      <c r="B23" s="10">
        <v>59291000000</v>
      </c>
    </row>
    <row r="24" spans="1:2" x14ac:dyDescent="0.25">
      <c r="A24" t="s">
        <v>27</v>
      </c>
      <c r="B24" s="9">
        <f>B22/(B22+B23)</f>
        <v>0.9830579895414958</v>
      </c>
    </row>
    <row r="25" spans="1:2" x14ac:dyDescent="0.25">
      <c r="A25" t="s">
        <v>28</v>
      </c>
      <c r="B25" s="9">
        <f>1-B24</f>
        <v>0.016942010458504186</v>
      </c>
    </row>
    <row r="26" spans="1:2" x14ac:dyDescent="0.25">
      <c r="A26" t="s">
        <v>29</v>
      </c>
      <c r="B26" s="11">
        <f>B24*B20+B25*B21*(1-B8)</f>
        <v>0.09632463809526588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402836000000</v>
      </c>
      <c r="C29" s="6" t="s">
        <v>32</v>
      </c>
    </row>
    <row r="30" spans="1:2" x14ac:dyDescent="0.25">
      <c r="A30" t="s">
        <v>33</v>
      </c>
      <c r="B30" s="10">
        <v>-67552000000</v>
      </c>
    </row>
    <row r="31" spans="1:2" x14ac:dyDescent="0.25">
      <c r="A31" t="s">
        <v>34</v>
      </c>
      <c r="B31" s="12">
        <v>12230000000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0.24013407158248024</v>
      </c>
      <c r="C5" s="5">
        <v>0.2700878976535155</v>
      </c>
      <c r="D5" s="5">
        <v>0.23945191044682604</v>
      </c>
      <c r="E5" s="5">
        <v>0.20881592324013662</v>
      </c>
      <c r="F5" s="5">
        <v>0.17817993603344717</v>
      </c>
      <c r="G5" s="5">
        <v>0.14754394882675775</v>
      </c>
      <c r="H5" s="5">
        <v>0.11690796162006831</v>
      </c>
      <c r="I5" s="5">
        <v>0.08627197441337886</v>
      </c>
      <c r="J5" s="5">
        <v>0.05563598720668944</v>
      </c>
      <c r="K5" s="5">
        <v>0.024999999999999994</v>
      </c>
    </row>
    <row r="6" spans="1:11" x14ac:dyDescent="0.25">
      <c r="A6" t="s">
        <v>50</v>
      </c>
      <c r="B6" s="18">
        <f>Assumptions!B29*(1+B5)</f>
        <v>499570648860</v>
      </c>
      <c r="C6" s="18">
        <f>B6*(1+C5)</f>
        <v>634498635140</v>
      </c>
      <c r="D6" s="18">
        <f>C6*(1+D5)</f>
        <v>786430545500.1766</v>
      </c>
      <c r="E6" s="18">
        <f>D6*(1+E5)</f>
        <v>950649765923.0403</v>
      </c>
      <c r="F6" s="18">
        <f>E6*(1+F5)</f>
        <v>1120036480405.4192</v>
      </c>
      <c r="G6" s="18">
        <f>F6*(1+G5)</f>
        <v>1285291085554.4583</v>
      </c>
      <c r="H6" s="18">
        <f>G6*(1+H5)</f>
        <v>1435551846455.0747</v>
      </c>
      <c r="I6" s="18">
        <f>H6*(1+I5)</f>
        <v>1559399738621.5256</v>
      </c>
      <c r="J6" s="18">
        <f>I6*(1+J5)</f>
        <v>1646158482529.5876</v>
      </c>
      <c r="K6" s="18">
        <f>J6*(1+K5)</f>
        <v>1687312444592.8271</v>
      </c>
    </row>
    <row r="7" spans="1:11" x14ac:dyDescent="0.25">
      <c r="A7" t="s">
        <v>4</v>
      </c>
      <c r="B7" s="9">
        <f>Assumptions!B7</f>
        <v>0.29506374272882846</v>
      </c>
      <c r="C7" s="9">
        <f>Assumptions!B7</f>
        <v>0.29506374272882846</v>
      </c>
      <c r="D7" s="9">
        <f>Assumptions!B7</f>
        <v>0.29506374272882846</v>
      </c>
      <c r="E7" s="9">
        <f>Assumptions!B7</f>
        <v>0.29506374272882846</v>
      </c>
      <c r="F7" s="9">
        <f>Assumptions!B7</f>
        <v>0.29506374272882846</v>
      </c>
      <c r="G7" s="9">
        <f>Assumptions!B7</f>
        <v>0.29506374272882846</v>
      </c>
      <c r="H7" s="9">
        <f>Assumptions!B7</f>
        <v>0.29506374272882846</v>
      </c>
      <c r="I7" s="9">
        <f>Assumptions!B7</f>
        <v>0.29506374272882846</v>
      </c>
      <c r="J7" s="9">
        <f>Assumptions!B7</f>
        <v>0.29506374272882846</v>
      </c>
      <c r="K7" s="9">
        <f>Assumptions!B7</f>
        <v>0.29506374272882846</v>
      </c>
    </row>
    <row r="8" spans="1:11" x14ac:dyDescent="0.25">
      <c r="A8" t="s">
        <v>51</v>
      </c>
      <c r="B8" s="18">
        <f>B6*B7</f>
        <v>147405185410.10095</v>
      </c>
      <c r="C8" s="18">
        <f>C6*C7</f>
        <v>187217542040.74176</v>
      </c>
      <c r="D8" s="18">
        <f>D6*D7</f>
        <v>232047140151.55634</v>
      </c>
      <c r="E8" s="18">
        <f>E6*E7</f>
        <v>280502277957.5369</v>
      </c>
      <c r="F8" s="18">
        <f>F6*F7</f>
        <v>330482155901.24713</v>
      </c>
      <c r="G8" s="18">
        <f>G6*G7</f>
        <v>379242798199.6973</v>
      </c>
      <c r="H8" s="18">
        <f>H6*H7</f>
        <v>423579300696.3148</v>
      </c>
      <c r="I8" s="18">
        <f>I6*I7</f>
        <v>460122323288.0242</v>
      </c>
      <c r="J8" s="18">
        <f>J6*J7</f>
        <v>485721682979.9889</v>
      </c>
      <c r="K8" s="18">
        <f>K6*K7</f>
        <v>497864725054.4886</v>
      </c>
    </row>
    <row r="9" spans="1:11" x14ac:dyDescent="0.25">
      <c r="A9" t="s">
        <v>52</v>
      </c>
      <c r="B9" s="18">
        <f>B8*(1-Assumptions!B8)</f>
        <v>123554785092.02051</v>
      </c>
      <c r="C9" s="18">
        <f>C8*(1-Assumptions!B8)</f>
        <v>156925437242.55624</v>
      </c>
      <c r="D9" s="18">
        <f>D8*(1-Assumptions!B8)</f>
        <v>194501532987.98984</v>
      </c>
      <c r="E9" s="18">
        <f>E8*(1-Assumptions!B8)</f>
        <v>235116550170.4988</v>
      </c>
      <c r="F9" s="18">
        <f>F8*(1-Assumptions!B8)</f>
        <v>277009602040.2831</v>
      </c>
      <c r="G9" s="18">
        <f>G8*(1-Assumptions!B8)</f>
        <v>317880692588.23517</v>
      </c>
      <c r="H9" s="18">
        <f>H8*(1-Assumptions!B8)</f>
        <v>355043476397.10126</v>
      </c>
      <c r="I9" s="18">
        <f>I8*(1-Assumptions!B8)</f>
        <v>385673778108.46906</v>
      </c>
      <c r="J9" s="18">
        <f>J8*(1-Assumptions!B8)</f>
        <v>407131119493.2674</v>
      </c>
      <c r="K9" s="18">
        <f>K8*(1-Assumptions!B8)</f>
        <v>417309397480.59906</v>
      </c>
    </row>
    <row r="10" spans="1:11" x14ac:dyDescent="0.25">
      <c r="A10" t="s">
        <v>53</v>
      </c>
      <c r="B10" s="18">
        <f>B6*Assumptions!B9</f>
        <v>22819899335.598183</v>
      </c>
      <c r="C10" s="18">
        <f>C6*Assumptions!B9</f>
        <v>28983277971.81475</v>
      </c>
      <c r="D10" s="18">
        <f>D6*Assumptions!B9</f>
        <v>35923379253.17721</v>
      </c>
      <c r="E10" s="18">
        <f>E6*Assumptions!B9</f>
        <v>43424752857.83497</v>
      </c>
      <c r="F10" s="18">
        <f>F6*Assumptions!B9</f>
        <v>51162172544.31226</v>
      </c>
      <c r="G10" s="18">
        <f>G6*Assumptions!B9</f>
        <v>58710841512.05602</v>
      </c>
      <c r="H10" s="18">
        <f>H6*Assumptions!B9</f>
        <v>65574606318.22938</v>
      </c>
      <c r="I10" s="18">
        <f>I6*Assumptions!B9</f>
        <v>71231857076.68304</v>
      </c>
      <c r="J10" s="18">
        <f>J6*Assumptions!B9</f>
        <v>75194911765.71011</v>
      </c>
      <c r="K10" s="18">
        <f>K6*Assumptions!B9</f>
        <v>77074784559.85286</v>
      </c>
    </row>
    <row r="11" spans="1:11" x14ac:dyDescent="0.25">
      <c r="A11" t="s">
        <v>54</v>
      </c>
      <c r="B11" s="18">
        <f>-B6*B19</f>
        <v>-74103398617.71153</v>
      </c>
      <c r="C11" s="18">
        <f>-C6*C19</f>
        <v>-88721808583.4687</v>
      </c>
      <c r="D11" s="18">
        <f>-D6*D19</f>
        <v>-103278306391.8207</v>
      </c>
      <c r="E11" s="18">
        <f>-E6*E19</f>
        <v>-116759768931.98978</v>
      </c>
      <c r="F11" s="18">
        <f>-F6*F19</f>
        <v>-128038794764.35072</v>
      </c>
      <c r="G11" s="18">
        <f>-G6*G19</f>
        <v>-135999532904.06973</v>
      </c>
      <c r="H11" s="18">
        <f>-H6*H19</f>
        <v>-139690474354.67297</v>
      </c>
      <c r="I11" s="18">
        <f>-I6*I19</f>
        <v>-138480110407.35013</v>
      </c>
      <c r="J11" s="18">
        <f>-J6*J19</f>
        <v>-132185021252.94148</v>
      </c>
      <c r="K11" s="18">
        <f>-K6*K19</f>
        <v>-121140090808.71678</v>
      </c>
    </row>
    <row r="12" spans="1:11" x14ac:dyDescent="0.25">
      <c r="A12" t="s">
        <v>55</v>
      </c>
      <c r="B12" s="18">
        <f>-(B6-Assumptions!B29)*Assumptions!B11</f>
        <v>-12496894541.055452</v>
      </c>
      <c r="C12" s="18">
        <f>-(C6-B6)*Assumptions!B11</f>
        <v>-17430991222.374477</v>
      </c>
      <c r="D12" s="18">
        <f>-(D6-C6)*Assumptions!B11</f>
        <v>-19627683395.430458</v>
      </c>
      <c r="E12" s="18">
        <f>-(E6-D6)*Assumptions!B11</f>
        <v>-21215048624.500347</v>
      </c>
      <c r="F12" s="18">
        <f>-(F6-E6)*Assumptions!B11</f>
        <v>-21882623573.748917</v>
      </c>
      <c r="G12" s="18">
        <f>-(G6-F6)*Assumptions!B11</f>
        <v>-21348807250.64846</v>
      </c>
      <c r="H12" s="18">
        <f>-(H6-G6)*Assumptions!B11</f>
        <v>-19411791997.62645</v>
      </c>
      <c r="I12" s="18">
        <f>-(I6-H6)*Assumptions!B11</f>
        <v>-15999583042.639526</v>
      </c>
      <c r="J12" s="18">
        <f>-(J6-I6)*Assumptions!B11</f>
        <v>-11208133651.290005</v>
      </c>
      <c r="K12" s="18">
        <f>-(K6-J6)*Assumptions!B11</f>
        <v>-5316571982.34338</v>
      </c>
    </row>
    <row r="13" spans="1:11" x14ac:dyDescent="0.25">
      <c r="A13" s="19" t="s">
        <v>56</v>
      </c>
      <c r="B13" s="20">
        <f>B9+B10+B11+B12</f>
        <v>59774391268.8517</v>
      </c>
      <c r="C13" s="20">
        <f>C9+C10+C11+C12</f>
        <v>79755915408.52782</v>
      </c>
      <c r="D13" s="20">
        <f>D9+D10+D11+D12</f>
        <v>107518922453.9159</v>
      </c>
      <c r="E13" s="20">
        <f>E9+E10+E11+E12</f>
        <v>140566485471.8437</v>
      </c>
      <c r="F13" s="20">
        <f>F9+F10+F11+F12</f>
        <v>178250356246.49573</v>
      </c>
      <c r="G13" s="20">
        <f>G9+G10+G11+G12</f>
        <v>219243193945.573</v>
      </c>
      <c r="H13" s="20">
        <f>H9+H10+H11+H12</f>
        <v>261515816363.0312</v>
      </c>
      <c r="I13" s="20">
        <f>I9+I10+I11+I12</f>
        <v>302425941735.1625</v>
      </c>
      <c r="J13" s="20">
        <f>J9+J10+J11+J12</f>
        <v>338932876354.7461</v>
      </c>
      <c r="K13" s="20">
        <f>K9+K10+K11+K12</f>
        <v>367927519249.3917</v>
      </c>
    </row>
    <row r="14" spans="1:11" x14ac:dyDescent="0.25">
      <c r="A14" t="s">
        <v>57</v>
      </c>
      <c r="B14" s="21">
        <f>1/(1+Assumptions!$B$26)^(1-0.5*Assumptions!$B$32)</f>
        <v>0.9550594647804663</v>
      </c>
      <c r="C14" s="21">
        <f>1/(1+Assumptions!$B$26)^(2-0.5*Assumptions!$B$32)</f>
        <v>0.8711465852302371</v>
      </c>
      <c r="D14" s="21">
        <f>1/(1+Assumptions!$B$26)^(3-0.5*Assumptions!$B$32)</f>
        <v>0.7946064103272834</v>
      </c>
      <c r="E14" s="21">
        <f>1/(1+Assumptions!$B$26)^(4-0.5*Assumptions!$B$32)</f>
        <v>0.7247911637813941</v>
      </c>
      <c r="F14" s="21">
        <f>1/(1+Assumptions!$B$26)^(5-0.5*Assumptions!$B$32)</f>
        <v>0.6611099838462381</v>
      </c>
      <c r="G14" s="21">
        <f>1/(1+Assumptions!$B$26)^(6-0.5*Assumptions!$B$32)</f>
        <v>0.6030239227267923</v>
      </c>
      <c r="H14" s="21">
        <f>1/(1+Assumptions!$B$26)^(7-0.5*Assumptions!$B$32)</f>
        <v>0.5500413853459273</v>
      </c>
      <c r="I14" s="21">
        <f>1/(1+Assumptions!$B$26)^(8-0.5*Assumptions!$B$32)</f>
        <v>0.5017139688674324</v>
      </c>
      <c r="J14" s="21">
        <f>1/(1+Assumptions!$B$26)^(9-0.5*Assumptions!$B$32)</f>
        <v>0.45763266776445066</v>
      </c>
      <c r="K14" s="21">
        <f>1/(1+Assumptions!$B$26)^(10-0.5*Assumptions!$B$32)</f>
        <v>0.4174244123159844</v>
      </c>
    </row>
    <row r="15" spans="1:11" x14ac:dyDescent="0.25">
      <c r="A15" s="19" t="s">
        <v>58</v>
      </c>
      <c r="B15" s="20">
        <f>B13*B14</f>
        <v>57088098132.807686</v>
      </c>
      <c r="C15" s="20">
        <f>C13*C14</f>
        <v>69479093360.05066</v>
      </c>
      <c r="D15" s="20">
        <f>D13*D14</f>
        <v>85435225013.36366</v>
      </c>
      <c r="E15" s="20">
        <f>E13*E14</f>
        <v>101881346593.798</v>
      </c>
      <c r="F15" s="20">
        <f>F13*F14</f>
        <v>117843090138.70697</v>
      </c>
      <c r="G15" s="20">
        <f>G13*G14</f>
        <v>132208890844.21034</v>
      </c>
      <c r="H15" s="20">
        <f>H13*H14</f>
        <v>143844521922.19278</v>
      </c>
      <c r="I15" s="20">
        <f>I13*I14</f>
        <v>151731319516.41922</v>
      </c>
      <c r="J15" s="20">
        <f>J13*J14</f>
        <v>155106756399.30115</v>
      </c>
      <c r="K15" s="20">
        <f>K13*K14</f>
        <v>153581928497.5554</v>
      </c>
    </row>
    <row r="17" spans="1:2" x14ac:dyDescent="0.25">
      <c r="A17" s="22" t="s">
        <v>59</v>
      </c>
      <c r="B17" s="23">
        <f>SUM(B15:K15)</f>
        <v>1168200270418.4058</v>
      </c>
    </row>
    <row r="19" spans="1:11" x14ac:dyDescent="0.25">
      <c r="A19" t="s">
        <v>7</v>
      </c>
      <c r="B19" s="9">
        <f>Assumptions!$B$10+($B$20-Assumptions!$B$10)*0/9</f>
        <v>0.14833417212723063</v>
      </c>
      <c r="C19" s="9">
        <f>Assumptions!$B$10+($B$20-Assumptions!$B$10)*1/9</f>
        <v>0.13982978633814167</v>
      </c>
      <c r="D19" s="9">
        <f>Assumptions!$B$10+($B$20-Assumptions!$B$10)*2/9</f>
        <v>0.13132540054905267</v>
      </c>
      <c r="E19" s="9">
        <f>Assumptions!$B$10+($B$20-Assumptions!$B$10)*3/9</f>
        <v>0.12282101475996371</v>
      </c>
      <c r="F19" s="9">
        <f>Assumptions!$B$10+($B$20-Assumptions!$B$10)*4/9</f>
        <v>0.11431662897087475</v>
      </c>
      <c r="G19" s="9">
        <f>Assumptions!$B$10+($B$20-Assumptions!$B$10)*5/9</f>
        <v>0.10581224318178575</v>
      </c>
      <c r="H19" s="9">
        <f>Assumptions!$B$10+($B$20-Assumptions!$B$10)*6/9</f>
        <v>0.09730785739269679</v>
      </c>
      <c r="I19" s="9">
        <f>Assumptions!$B$10+($B$20-Assumptions!$B$10)*7/9</f>
        <v>0.08880347160360783</v>
      </c>
      <c r="J19" s="9">
        <f>Assumptions!$B$10+($B$20-Assumptions!$B$10)*8/9</f>
        <v>0.08029908581451885</v>
      </c>
      <c r="K19" s="9">
        <f>Assumptions!$B$10+($B$20-Assumptions!$B$10)*9/9</f>
        <v>0.07179470002542987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0.07179470002542987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367927519249.3917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417309397480.59906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0.10559385078528585</v>
      </c>
    </row>
    <row r="7" spans="1:2" x14ac:dyDescent="0.25">
      <c r="A7" t="s">
        <v>66</v>
      </c>
      <c r="B7" s="18">
        <f>-MAX(B5,0)*B6</f>
        <v>-44065306248.86392</v>
      </c>
    </row>
    <row r="8" spans="1:2" x14ac:dyDescent="0.25">
      <c r="A8" t="s">
        <v>67</v>
      </c>
      <c r="B8" s="18">
        <f>IF(OR(Assumptions!$B$33=0,Assumptions!B12&lt;=0),B5,MAX(B5+B7,0))</f>
        <v>373244091231.7351</v>
      </c>
    </row>
    <row r="9" spans="1:2" x14ac:dyDescent="0.25">
      <c r="A9" t="s">
        <v>68</v>
      </c>
      <c r="B9" s="18">
        <f>B8*(1+Assumptions!B12)/(Assumptions!B26-Assumptions!B12)</f>
        <v>5363857479396.332</v>
      </c>
    </row>
    <row r="10" spans="1:2" x14ac:dyDescent="0.25">
      <c r="A10" t="s">
        <v>69</v>
      </c>
      <c r="B10" s="18">
        <f>B9/(1+Assumptions!B26)^(10-0.5*Assumptions!B32)</f>
        <v>2239005056083.7114</v>
      </c>
    </row>
    <row r="11" spans="1:2" x14ac:dyDescent="0.25">
      <c r="A11" t="s">
        <v>70</v>
      </c>
      <c r="B11" s="18">
        <f>Forecast!B17+B10</f>
        <v>3407205326502.117</v>
      </c>
    </row>
    <row r="12" spans="1:2" x14ac:dyDescent="0.25">
      <c r="A12" t="s">
        <v>71</v>
      </c>
      <c r="B12" s="18">
        <f>-Assumptions!B30</f>
        <v>67552000000</v>
      </c>
    </row>
    <row r="13" spans="1:2" x14ac:dyDescent="0.25">
      <c r="A13" t="s">
        <v>72</v>
      </c>
      <c r="B13" s="18">
        <f>B11+B12</f>
        <v>3474757326502.117</v>
      </c>
    </row>
    <row r="14" spans="1:2" x14ac:dyDescent="0.25">
      <c r="A14" s="19" t="s">
        <v>73</v>
      </c>
      <c r="B14" s="24">
        <f>B13/Assumptions!B31</f>
        <v>284.117524652667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574939509614.3414</v>
      </c>
    </row>
    <row r="18" spans="1:2" x14ac:dyDescent="0.25">
      <c r="A18" t="s">
        <v>68</v>
      </c>
      <c r="B18" s="18">
        <f>B17*Assumptions!B13</f>
        <v>11498790192286.828</v>
      </c>
    </row>
    <row r="19" spans="1:2" x14ac:dyDescent="0.25">
      <c r="A19" t="s">
        <v>69</v>
      </c>
      <c r="B19" s="18">
        <f>B18/(1+Assumptions!B26)^(10-0.5*Assumptions!B32)</f>
        <v>4799875738360.135</v>
      </c>
    </row>
    <row r="20" spans="1:2" x14ac:dyDescent="0.25">
      <c r="A20" t="s">
        <v>70</v>
      </c>
      <c r="B20" s="18">
        <f>Forecast!B17+B19</f>
        <v>5968076008778.541</v>
      </c>
    </row>
    <row r="21" spans="1:2" x14ac:dyDescent="0.25">
      <c r="A21" t="s">
        <v>71</v>
      </c>
      <c r="B21" s="18">
        <f>-Assumptions!B30</f>
        <v>67552000000</v>
      </c>
    </row>
    <row r="22" spans="1:2" x14ac:dyDescent="0.25">
      <c r="A22" t="s">
        <v>72</v>
      </c>
      <c r="B22" s="18">
        <f>B20+B21</f>
        <v>6035628008778.541</v>
      </c>
    </row>
    <row r="23" spans="1:2" x14ac:dyDescent="0.25">
      <c r="A23" s="19" t="s">
        <v>73</v>
      </c>
      <c r="B23" s="25">
        <f>B22/Assumptions!B31</f>
        <v>493.5100579540917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279.84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284.117524652667</v>
      </c>
    </row>
    <row r="29" spans="1:2" x14ac:dyDescent="0.25">
      <c r="A29" s="19" t="s">
        <v>81</v>
      </c>
      <c r="B29" s="11">
        <f>B28/B26-1</f>
        <v>0.015285608392892502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0.076325</v>
      </c>
      <c r="B5" s="31">
        <v>378.592142863543</v>
      </c>
      <c r="C5" s="31">
        <v>395.06756749537294</v>
      </c>
      <c r="D5" s="31">
        <v>415.03280661145493</v>
      </c>
      <c r="E5" s="31">
        <v>439.6178595051253</v>
      </c>
      <c r="F5" s="31">
        <v>470.49960958022706</v>
      </c>
    </row>
    <row r="6" spans="1:6" x14ac:dyDescent="0.25">
      <c r="A6" s="30">
        <v>0.086325</v>
      </c>
      <c r="B6" s="31">
        <v>316.79509931136425</v>
      </c>
      <c r="C6" s="31">
        <v>326.776582217259</v>
      </c>
      <c r="D6" s="31">
        <v>338.60658279069247</v>
      </c>
      <c r="E6" s="31">
        <v>352.77738270078316</v>
      </c>
      <c r="F6" s="31">
        <v>369.9730928106552</v>
      </c>
    </row>
    <row r="7" spans="1:6" x14ac:dyDescent="0.25">
      <c r="A7" s="30">
        <v>0.096325</v>
      </c>
      <c r="B7" s="31">
        <v>270.7055718553989</v>
      </c>
      <c r="C7" s="31">
        <v>276.8876862405091</v>
      </c>
      <c r="D7" s="32">
        <v>284.11583777065243</v>
      </c>
      <c r="E7" s="31">
        <v>292.62659722872405</v>
      </c>
      <c r="F7" s="31">
        <v>302.73368852697683</v>
      </c>
    </row>
    <row r="8" spans="1:6" x14ac:dyDescent="0.25">
      <c r="A8" s="30">
        <v>0.106325</v>
      </c>
      <c r="B8" s="31">
        <v>235.13037136903196</v>
      </c>
      <c r="C8" s="31">
        <v>238.97291042783044</v>
      </c>
      <c r="D8" s="31">
        <v>243.43650202780222</v>
      </c>
      <c r="E8" s="31">
        <v>248.64320038601383</v>
      </c>
      <c r="F8" s="31">
        <v>254.74928452628015</v>
      </c>
    </row>
    <row r="9" spans="1:6" x14ac:dyDescent="0.25">
      <c r="A9" s="30">
        <v>0.116325</v>
      </c>
      <c r="B9" s="31">
        <v>206.92896867323884</v>
      </c>
      <c r="C9" s="31">
        <v>209.27605914917177</v>
      </c>
      <c r="D9" s="31">
        <v>212.00524654881048</v>
      </c>
      <c r="E9" s="31">
        <v>215.18292477722989</v>
      </c>
      <c r="F9" s="31">
        <v>218.89181578256043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402836000000</v>
      </c>
      <c r="C5" s="18">
        <v>350018000000</v>
      </c>
      <c r="D5" s="18">
        <v>307394000000</v>
      </c>
      <c r="E5" s="18">
        <v>282836000000</v>
      </c>
      <c r="F5" s="6" t="s">
        <v>91</v>
      </c>
    </row>
    <row r="6" spans="1:6" x14ac:dyDescent="0.25">
      <c r="A6" t="s">
        <v>51</v>
      </c>
      <c r="B6" s="18">
        <v>129039000000</v>
      </c>
      <c r="C6" s="18">
        <v>112390000000</v>
      </c>
      <c r="D6" s="18">
        <v>84293000000</v>
      </c>
      <c r="E6" s="18">
        <v>74842000000</v>
      </c>
      <c r="F6" s="6" t="s">
        <v>92</v>
      </c>
    </row>
    <row r="7" spans="1:6" x14ac:dyDescent="0.25">
      <c r="A7" t="s">
        <v>93</v>
      </c>
      <c r="B7" s="18">
        <v>21136000000</v>
      </c>
      <c r="C7" s="18">
        <v>15311000000</v>
      </c>
      <c r="D7" s="18">
        <v>11946000000</v>
      </c>
      <c r="E7" s="18">
        <v>13475000000</v>
      </c>
      <c r="F7" s="6" t="s">
        <v>94</v>
      </c>
    </row>
    <row r="8" spans="1:6" x14ac:dyDescent="0.25">
      <c r="A8" t="s">
        <v>95</v>
      </c>
      <c r="B8" s="18">
        <v>91447000000</v>
      </c>
      <c r="C8" s="18">
        <v>52535000000</v>
      </c>
      <c r="D8" s="18">
        <v>32251000000</v>
      </c>
      <c r="E8" s="18">
        <v>31485000000</v>
      </c>
      <c r="F8" s="6" t="s">
        <v>96</v>
      </c>
    </row>
    <row r="9" spans="1:6" x14ac:dyDescent="0.25">
      <c r="A9" t="s">
        <v>97</v>
      </c>
      <c r="B9" s="18">
        <v>-618000000</v>
      </c>
      <c r="C9" s="18">
        <v>8406000000</v>
      </c>
      <c r="D9" s="18">
        <v>3845000000</v>
      </c>
      <c r="E9" s="18">
        <v>2235000000</v>
      </c>
      <c r="F9" s="6" t="s">
        <v>98</v>
      </c>
    </row>
    <row r="10" spans="1:6" x14ac:dyDescent="0.25">
      <c r="A10" t="s">
        <v>99</v>
      </c>
      <c r="B10" s="18">
        <v>59291000000</v>
      </c>
      <c r="C10" s="18">
        <v>22574000000</v>
      </c>
      <c r="D10" s="18">
        <v>27121000000</v>
      </c>
      <c r="E10" s="18">
        <v>29679000000</v>
      </c>
      <c r="F10" s="6" t="s">
        <v>100</v>
      </c>
    </row>
    <row r="11" spans="1:6" x14ac:dyDescent="0.25">
      <c r="A11" t="s">
        <v>101</v>
      </c>
      <c r="B11" s="18">
        <v>126843000000</v>
      </c>
      <c r="C11" s="18">
        <v>95657000000</v>
      </c>
      <c r="D11" s="18">
        <v>110916000000</v>
      </c>
      <c r="E11" s="18">
        <v>113762000000</v>
      </c>
      <c r="F11" s="6" t="s">
        <v>102</v>
      </c>
    </row>
    <row r="12" spans="1:6" x14ac:dyDescent="0.25">
      <c r="A12" t="s">
        <v>34</v>
      </c>
      <c r="B12" s="34">
        <v>12230000000</v>
      </c>
      <c r="C12" s="34">
        <v>12447000000</v>
      </c>
      <c r="D12" s="34">
        <v>12722000000</v>
      </c>
      <c r="E12" s="34">
        <v>13159000000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