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<sst xmlns="http://schemas.openxmlformats.org/spreadsheetml/2006/main" count="111" uniqueCount="99">
  <si>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Genuine Parts Company (GPC)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</si>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</sst>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0.03220324726356383</v>
      </c>
    </row>
    <row r="7" spans="1:2" x14ac:dyDescent="0.25">
      <c r="A7" t="s">
        <v>5</v>
      </c>
      <c r="B7" s="6">
        <v>0.06503165458444557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0.017608325151623475</v>
      </c>
    </row>
    <row r="10" spans="1:2" x14ac:dyDescent="0.25">
      <c r="A10" t="s">
        <v>8</v>
      </c>
      <c r="B10" s="6">
        <v>0.020266047183516184</v>
      </c>
    </row>
    <row r="11" spans="1:2" x14ac:dyDescent="0.25">
      <c r="A11" t="s">
        <v>9</v>
      </c>
      <c r="B11" s="6">
        <v>0.2907161105006148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13.531127565066315</v>
      </c>
    </row>
    <row r="14" spans="1:3" x14ac:dyDescent="0.25">
      <c r="A14" t="s">
        <v>12</v>
      </c>
      <c r="B14" s="6">
        <v>0.14916809044516247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0.76952</v>
      </c>
      <c r="C19" s="8" t="s">
        <v>19</v>
      </c>
    </row>
    <row r="20" spans="1:2" x14ac:dyDescent="0.25">
      <c r="A20" t="s">
        <v>20</v>
      </c>
      <c r="B20" s="10">
        <f>B17+B19*B18</f>
        <v>0.0923036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17657077760</v>
      </c>
    </row>
    <row r="23" spans="1:2" x14ac:dyDescent="0.25">
      <c r="A23" t="s">
        <v>24</v>
      </c>
      <c r="B23" s="11">
        <v>6535229000</v>
      </c>
    </row>
    <row r="24" spans="1:2" x14ac:dyDescent="0.25">
      <c r="A24" t="s">
        <v>25</v>
      </c>
      <c r="B24" s="10">
        <f>B22/(B22+B23)</f>
        <v>0.729863337761347</v>
      </c>
    </row>
    <row r="25" spans="1:2" x14ac:dyDescent="0.25">
      <c r="A25" t="s">
        <v>26</v>
      </c>
      <c r="B25" s="10">
        <f>1-B24</f>
        <v>0.27013666223865296</v>
      </c>
    </row>
    <row r="26" spans="1:2" x14ac:dyDescent="0.25">
      <c r="A26" t="s">
        <v>27</v>
      </c>
      <c r="B26" s="12">
        <f>B24*B20+B25*B21*(1-B8)</f>
        <v>0.0780351435825517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24300141000</v>
      </c>
      <c r="C29" s="8" t="s">
        <v>30</v>
      </c>
    </row>
    <row r="30" spans="1:2" x14ac:dyDescent="0.25">
      <c r="A30" t="s">
        <v>31</v>
      </c>
      <c r="B30" s="11">
        <v>6058050000</v>
      </c>
    </row>
    <row r="31" spans="1:2" x14ac:dyDescent="0.25">
      <c r="A31" t="s">
        <v>32</v>
      </c>
      <c r="B31" s="13">
        <v>139250000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0.03220324726356383</v>
      </c>
      <c r="C5" s="10">
        <f>Assumptions!B6</f>
        <v>0.03220324726356383</v>
      </c>
      <c r="D5" s="10">
        <f>Assumptions!B6</f>
        <v>0.03220324726356383</v>
      </c>
      <c r="E5" s="10">
        <f>Assumptions!B6</f>
        <v>0.03220324726356383</v>
      </c>
      <c r="F5" s="10">
        <f>Assumptions!B6</f>
        <v>0.03220324726356383</v>
      </c>
    </row>
    <row r="6" spans="1:6" x14ac:dyDescent="0.25">
      <c r="A6" t="s">
        <v>43</v>
      </c>
      <c r="B6" s="18">
        <f>Assumptions!B29*(1+B5)</f>
        <v>25082684449.162464</v>
      </c>
      <c r="C6" s="18">
        <f>B6*(1+C5)</f>
        <v>25890428338.51279</v>
      </c>
      <c r="D6" s="18">
        <f>C6*(1+D5)</f>
        <v>26724184204.0575</v>
      </c>
      <c r="E6" s="18">
        <f>D6*(1+E5)</f>
        <v>27584789715.89779</v>
      </c>
      <c r="F6" s="18">
        <f>E6*(1+F5)</f>
        <v>28473109519.832256</v>
      </c>
    </row>
    <row r="7" spans="1:6" x14ac:dyDescent="0.25">
      <c r="A7" t="s">
        <v>5</v>
      </c>
      <c r="B7" s="10">
        <f>Assumptions!B7</f>
        <v>0.06503165458444557</v>
      </c>
      <c r="C7" s="10">
        <f>Assumptions!B7</f>
        <v>0.06503165458444557</v>
      </c>
      <c r="D7" s="10">
        <f>Assumptions!B7</f>
        <v>0.06503165458444557</v>
      </c>
      <c r="E7" s="10">
        <f>Assumptions!B7</f>
        <v>0.06503165458444557</v>
      </c>
      <c r="F7" s="10">
        <f>Assumptions!B7</f>
        <v>0.06503165458444557</v>
      </c>
    </row>
    <row r="8" spans="1:6" x14ac:dyDescent="0.25">
      <c r="A8" t="s">
        <v>44</v>
      </c>
      <c r="B8" s="18">
        <f>B6*B7</f>
        <v>1631168471.1485777</v>
      </c>
      <c r="C8" s="18">
        <f>C6*C7</f>
        <v>1683697392.7535048</v>
      </c>
      <c r="D8" s="18">
        <f>D6*D7</f>
        <v>1737917916.2093637</v>
      </c>
      <c r="E8" s="18">
        <f>E6*E7</f>
        <v>1793884516.5888314</v>
      </c>
      <c r="F8" s="18">
        <f>F6*F7</f>
        <v>1851653423.23882</v>
      </c>
    </row>
    <row r="9" spans="1:6" x14ac:dyDescent="0.25">
      <c r="A9" t="s">
        <v>45</v>
      </c>
      <c r="B9" s="18">
        <f>B8*(1-Assumptions!B8)</f>
        <v>1288623092.2073765</v>
      </c>
      <c r="C9" s="18">
        <f>C8*(1-Assumptions!B8)</f>
        <v>1330120940.2752688</v>
      </c>
      <c r="D9" s="18">
        <f>D8*(1-Assumptions!B8)</f>
        <v>1372955153.8053973</v>
      </c>
      <c r="E9" s="18">
        <f>E8*(1-Assumptions!B8)</f>
        <v>1417168768.105177</v>
      </c>
      <c r="F9" s="18">
        <f>F8*(1-Assumptions!B8)</f>
        <v>1462806204.3586679</v>
      </c>
    </row>
    <row r="10" spans="1:6" x14ac:dyDescent="0.25">
      <c r="A10" t="s">
        <v>46</v>
      </c>
      <c r="B10" s="18">
        <f>B6*Assumptions!B9</f>
        <v>441664063.45642245</v>
      </c>
      <c r="C10" s="18">
        <f>C6*Assumptions!B9</f>
        <v>455887080.49933994</v>
      </c>
      <c r="D10" s="18">
        <f>D6*Assumptions!B9</f>
        <v>470568124.87692446</v>
      </c>
      <c r="E10" s="18">
        <f>E6*Assumptions!B9</f>
        <v>485721946.5566876</v>
      </c>
      <c r="F10" s="18">
        <f>F6*Assumptions!B9</f>
        <v>501363770.50299215</v>
      </c>
    </row>
    <row r="11" spans="1:6" x14ac:dyDescent="0.25">
      <c r="A11" t="s">
        <v>47</v>
      </c>
      <c r="B11" s="18">
        <f>-B6*Assumptions!B10</f>
        <v>-508326866.53597414</v>
      </c>
      <c r="C11" s="18">
        <f>-C6*Assumptions!B10</f>
        <v>-524696642.3097447</v>
      </c>
      <c r="D11" s="18">
        <f>-D6*Assumptions!B10</f>
        <v>-541593578.0204072</v>
      </c>
      <c r="E11" s="18">
        <f>-E6*Assumptions!B10</f>
        <v>-559034649.9297565</v>
      </c>
      <c r="F11" s="18">
        <f>-F6*Assumptions!B10</f>
        <v>-577037380.9903443</v>
      </c>
    </row>
    <row r="12" spans="1:6" x14ac:dyDescent="0.25">
      <c r="A12" t="s">
        <v>48</v>
      </c>
      <c r="B12" s="18">
        <f>-(B6-Assumptions!B29)*Assumptions!B11</f>
        <v>-227497987.83824718</v>
      </c>
      <c r="C12" s="18">
        <f>-(C6-B6)*Assumptions!B11</f>
        <v>-234824161.7925659</v>
      </c>
      <c r="D12" s="18">
        <f>-(D6-C6)*Assumptions!B11</f>
        <v>-242386262.33823115</v>
      </c>
      <c r="E12" s="18">
        <f>-(E6-D6)*Assumptions!B11</f>
        <v>-250191887.0775999</v>
      </c>
      <c r="F12" s="18">
        <f>-(F6-E6)*Assumptions!B11</f>
        <v>-258248878.28049707</v>
      </c>
    </row>
    <row r="13" spans="1:6" x14ac:dyDescent="0.25">
      <c r="A13" s="19" t="s">
        <v>49</v>
      </c>
      <c r="B13" s="20">
        <f>B9+B10+B11+B12</f>
        <v>994462301.2895776</v>
      </c>
      <c r="C13" s="20">
        <f>C9+C10+C11+C12</f>
        <v>1026487216.6722978</v>
      </c>
      <c r="D13" s="20">
        <f>D9+D10+D11+D12</f>
        <v>1059543438.3236835</v>
      </c>
      <c r="E13" s="20">
        <f>E9+E10+E11+E12</f>
        <v>1093664177.654508</v>
      </c>
      <c r="F13" s="20">
        <f>F9+F10+F11+F12</f>
        <v>1128883715.5908186</v>
      </c>
    </row>
    <row r="14" spans="1:6" x14ac:dyDescent="0.25">
      <c r="A14" t="s">
        <v>50</v>
      </c>
      <c r="B14" s="21">
        <f>1/(1+Assumptions!$B$26)^(1-0.5*Assumptions!$B$32)</f>
        <v>0.9631269614706717</v>
      </c>
      <c r="C14" s="21">
        <f>1/(1+Assumptions!$B$26)^(2-0.5*Assumptions!$B$32)</f>
        <v>0.8934096139667446</v>
      </c>
      <c r="D14" s="21">
        <f>1/(1+Assumptions!$B$26)^(3-0.5*Assumptions!$B$32)</f>
        <v>0.8287388581765014</v>
      </c>
      <c r="E14" s="21">
        <f>1/(1+Assumptions!$B$26)^(4-0.5*Assumptions!$B$32)</f>
        <v>0.7687493892104639</v>
      </c>
      <c r="F14" s="21">
        <f>1/(1+Assumptions!$B$26)^(5-0.5*Assumptions!$B$32)</f>
        <v>0.7131023453054953</v>
      </c>
    </row>
    <row r="15" spans="1:6" x14ac:dyDescent="0.25">
      <c r="A15" s="19" t="s">
        <v>51</v>
      </c>
      <c r="B15" s="20">
        <f>B13*B14</f>
        <v>957793454.5381625</v>
      </c>
      <c r="C15" s="20">
        <f>C13*C14</f>
        <v>917073547.9889957</v>
      </c>
      <c r="D15" s="20">
        <f>D13*D14</f>
        <v>878084819.2647738</v>
      </c>
      <c r="E15" s="20">
        <f>E13*E14</f>
        <v>840753668.5732673</v>
      </c>
      <c r="F15" s="20">
        <f>F13*F14</f>
        <v>805009625.1649945</v>
      </c>
    </row>
    <row r="17" spans="1:2" x14ac:dyDescent="0.25">
      <c r="A17" s="22" t="s">
        <v>52</v>
      </c>
      <c r="B17" s="23">
        <f>SUM(B15:F15)</f>
        <v>4398715115.530194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1128883715.5908186</v>
      </c>
    </row>
    <row r="5" spans="1:2" x14ac:dyDescent="0.25">
      <c r="A5" t="s">
        <v>56</v>
      </c>
      <c r="B5" s="18">
        <f>IF(Assumptions!$B$33=0,B4,B4-Forecast!F11-Forecast!F10-Forecast!F12)</f>
        <v>1462806204.3586679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0.1675961656772067</v>
      </c>
    </row>
    <row r="7" spans="1:2" x14ac:dyDescent="0.25">
      <c r="A7" t="s">
        <v>58</v>
      </c>
      <c r="B7" s="18">
        <f>-MAX(Forecast!F9,0)*B6</f>
        <v>-245160710.97934118</v>
      </c>
    </row>
    <row r="8" spans="1:2" x14ac:dyDescent="0.25">
      <c r="A8" t="s">
        <v>59</v>
      </c>
      <c r="B8" s="18">
        <f>IF(OR(Assumptions!$B$33=0,Assumptions!B12&lt;=0),B5,MAX(B5+B7,0))</f>
        <v>1217645493.3793266</v>
      </c>
    </row>
    <row r="9" spans="1:2" x14ac:dyDescent="0.25">
      <c r="A9" t="s">
        <v>60</v>
      </c>
      <c r="B9" s="18">
        <f>B8*(1+Assumptions!B12)/(Assumptions!B26-Assumptions!B12)</f>
        <v>23533199806.862106</v>
      </c>
    </row>
    <row r="10" spans="1:2" x14ac:dyDescent="0.25">
      <c r="A10" t="s">
        <v>61</v>
      </c>
      <c r="B10" s="18">
        <f>B9/(1+Assumptions!B26)^(5-0.5*Assumptions!B32)</f>
        <v>16781579974.816198</v>
      </c>
    </row>
    <row r="11" spans="1:2" x14ac:dyDescent="0.25">
      <c r="A11" t="s">
        <v>62</v>
      </c>
      <c r="B11" s="18">
        <f>Forecast!B17+B10</f>
        <v>21180295090.346394</v>
      </c>
    </row>
    <row r="12" spans="1:2" x14ac:dyDescent="0.25">
      <c r="A12" t="s">
        <v>63</v>
      </c>
      <c r="B12" s="18">
        <f>-Assumptions!B30</f>
        <v>-6058050000</v>
      </c>
    </row>
    <row r="13" spans="1:2" x14ac:dyDescent="0.25">
      <c r="A13" t="s">
        <v>64</v>
      </c>
      <c r="B13" s="18">
        <f>B11+B12</f>
        <v>15122245090.346394</v>
      </c>
    </row>
    <row r="14" spans="1:2" x14ac:dyDescent="0.25">
      <c r="A14" s="19" t="s">
        <v>65</v>
      </c>
      <c r="B14" s="24">
        <f>B13/Assumptions!B31</f>
        <v>108.59781034360067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2353017193.741812</v>
      </c>
    </row>
    <row r="18" spans="1:2" x14ac:dyDescent="0.25">
      <c r="A18" t="s">
        <v>60</v>
      </c>
      <c r="B18" s="18">
        <f>B17*Assumptions!B13</f>
        <v>31838975811.314823</v>
      </c>
    </row>
    <row r="19" spans="1:2" x14ac:dyDescent="0.25">
      <c r="A19" t="s">
        <v>61</v>
      </c>
      <c r="B19" s="18">
        <f>B18/(1+Assumptions!B26)^(5-0.5*Assumptions!B32)</f>
        <v>22704448323.173534</v>
      </c>
    </row>
    <row r="20" spans="1:2" x14ac:dyDescent="0.25">
      <c r="A20" t="s">
        <v>62</v>
      </c>
      <c r="B20" s="18">
        <f>Forecast!B17+B19</f>
        <v>27103163438.703728</v>
      </c>
    </row>
    <row r="21" spans="1:2" x14ac:dyDescent="0.25">
      <c r="A21" t="s">
        <v>63</v>
      </c>
      <c r="B21" s="18">
        <f>-Assumptions!B30</f>
        <v>-6058050000</v>
      </c>
    </row>
    <row r="22" spans="1:2" x14ac:dyDescent="0.25">
      <c r="A22" t="s">
        <v>64</v>
      </c>
      <c r="B22" s="18">
        <f>B20+B21</f>
        <v>21045113438.703728</v>
      </c>
    </row>
    <row r="23" spans="1:2" x14ac:dyDescent="0.25">
      <c r="A23" s="19" t="s">
        <v>65</v>
      </c>
      <c r="B23" s="25">
        <f>B22/Assumptions!B31</f>
        <v>151.13187388656178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128.08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108.59781034360067</v>
      </c>
    </row>
    <row r="29" spans="1:2" x14ac:dyDescent="0.25">
      <c r="A29" s="19" t="s">
        <v>73</v>
      </c>
      <c r="B29" s="12">
        <f>B28/B26-1</f>
        <v>-0.15210953822922657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0.058035</v>
      </c>
      <c r="B5" s="31">
        <v>162.4412669343747</v>
      </c>
      <c r="C5" s="31">
        <v>178.80630473191113</v>
      </c>
      <c r="D5" s="31">
        <v>200.04249924843313</v>
      </c>
      <c r="E5" s="31">
        <v>228.7561408632806</v>
      </c>
      <c r="F5" s="31">
        <v>269.81641587881415</v>
      </c>
    </row>
    <row r="6" spans="1:6" x14ac:dyDescent="0.25">
      <c r="A6" s="30">
        <v>0.068035</v>
      </c>
      <c r="B6" s="31">
        <v>123.27760550493564</v>
      </c>
      <c r="C6" s="31">
        <v>132.44609902614226</v>
      </c>
      <c r="D6" s="31">
        <v>143.68422063700234</v>
      </c>
      <c r="E6" s="31">
        <v>157.80817702464117</v>
      </c>
      <c r="F6" s="31">
        <v>176.12832150074854</v>
      </c>
    </row>
    <row r="7" spans="1:6" x14ac:dyDescent="0.25">
      <c r="A7" s="30">
        <v>0.078035</v>
      </c>
      <c r="B7" s="31">
        <v>96.57667881212102</v>
      </c>
      <c r="C7" s="31">
        <v>102.09122462146681</v>
      </c>
      <c r="D7" s="32">
        <v>108.59821899662008</v>
      </c>
      <c r="E7" s="31">
        <v>116.40757613529338</v>
      </c>
      <c r="F7" s="31">
        <v>125.97323914083964</v>
      </c>
    </row>
    <row r="8" spans="1:6" x14ac:dyDescent="0.25">
      <c r="A8" s="30">
        <v>0.088035</v>
      </c>
      <c r="B8" s="31">
        <v>77.21736269600548</v>
      </c>
      <c r="C8" s="31">
        <v>80.68263566544303</v>
      </c>
      <c r="D8" s="31">
        <v>84.65943356436672</v>
      </c>
      <c r="E8" s="31">
        <v>89.27996754022718</v>
      </c>
      <c r="F8" s="31">
        <v>94.72630681436965</v>
      </c>
    </row>
    <row r="9" spans="1:6" x14ac:dyDescent="0.25">
      <c r="A9" s="30">
        <v>0.098035</v>
      </c>
      <c r="B9" s="31">
        <v>62.54561631043467</v>
      </c>
      <c r="C9" s="31">
        <v>64.77977403744006</v>
      </c>
      <c r="D9" s="31">
        <v>67.2881835130494</v>
      </c>
      <c r="E9" s="31">
        <v>70.13131032452011</v>
      </c>
      <c r="F9" s="31">
        <v>73.3888048254323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24300141000</v>
      </c>
      <c r="C5" s="18">
        <v>23486569000</v>
      </c>
      <c r="D5" s="18">
        <v>23090610000</v>
      </c>
      <c r="E5" s="18">
        <v>22095973000</v>
      </c>
      <c r="F5" s="8" t="s">
        <v>84</v>
      </c>
    </row>
    <row r="6" spans="1:6" x14ac:dyDescent="0.25">
      <c r="A6" t="s">
        <v>44</v>
      </c>
      <c r="B6" s="18">
        <v>1214612000</v>
      </c>
      <c r="C6" s="18">
        <v>1442736000</v>
      </c>
      <c r="D6" s="18">
        <v>1747053000</v>
      </c>
      <c r="E6" s="18">
        <v>1614199000</v>
      </c>
      <c r="F6" s="8" t="s">
        <v>85</v>
      </c>
    </row>
    <row r="7" spans="1:6" x14ac:dyDescent="0.25">
      <c r="A7" t="s">
        <v>86</v>
      </c>
      <c r="B7" s="18">
        <v>538023000</v>
      </c>
      <c r="C7" s="18">
        <v>407978000</v>
      </c>
      <c r="D7" s="18">
        <v>350529000</v>
      </c>
      <c r="E7" s="18">
        <v>347819000</v>
      </c>
      <c r="F7" s="8" t="s">
        <v>87</v>
      </c>
    </row>
    <row r="8" spans="1:6" x14ac:dyDescent="0.25">
      <c r="A8" t="s">
        <v>88</v>
      </c>
      <c r="B8" s="18">
        <v>469838000</v>
      </c>
      <c r="C8" s="18">
        <v>567339000</v>
      </c>
      <c r="D8" s="18">
        <v>512675000</v>
      </c>
      <c r="E8" s="18">
        <v>339632000</v>
      </c>
      <c r="F8" s="8" t="s">
        <v>89</v>
      </c>
    </row>
    <row r="9" spans="1:6" x14ac:dyDescent="0.25">
      <c r="A9" t="s">
        <v>90</v>
      </c>
      <c r="B9" s="18">
        <v>380349000</v>
      </c>
      <c r="C9" s="18">
        <v>87322000</v>
      </c>
      <c r="D9" s="18">
        <v>289157000</v>
      </c>
      <c r="E9" s="18">
        <v>19401000</v>
      </c>
      <c r="F9" s="8" t="s">
        <v>91</v>
      </c>
    </row>
    <row r="10" spans="1:6" x14ac:dyDescent="0.25">
      <c r="A10" t="s">
        <v>92</v>
      </c>
      <c r="B10" s="18">
        <v>6535229000</v>
      </c>
      <c r="C10" s="18">
        <v>5742736000</v>
      </c>
      <c r="D10" s="18">
        <v>4886166000</v>
      </c>
      <c r="E10" s="18">
        <v>4164842000</v>
      </c>
      <c r="F10" s="8" t="s">
        <v>93</v>
      </c>
    </row>
    <row r="11" spans="1:6" x14ac:dyDescent="0.25">
      <c r="A11" t="s">
        <v>94</v>
      </c>
      <c r="B11" s="18">
        <v>477179000</v>
      </c>
      <c r="C11" s="18">
        <v>479991000</v>
      </c>
      <c r="D11" s="18">
        <v>1102007000</v>
      </c>
      <c r="E11" s="18">
        <v>653463000</v>
      </c>
      <c r="F11" s="8" t="s">
        <v>95</v>
      </c>
    </row>
    <row r="12" spans="1:6" x14ac:dyDescent="0.25">
      <c r="A12" t="s">
        <v>32</v>
      </c>
      <c r="B12" s="34">
        <v>139250000</v>
      </c>
      <c r="C12" s="34">
        <v>139670000</v>
      </c>
      <c r="D12" s="34">
        <v>141034000</v>
      </c>
      <c r="E12" s="34">
        <v>142322000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2026-09-19T01:03:56Z</dcterms:modified>
</cp:coreProperties>
</file>