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<sst xmlns="http://schemas.openxmlformats.org/spreadsheetml/2006/main" count="119" uniqueCount="106">
  <si>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Genuine Parts Company (GPC)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</si>
  <si>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</si>
  <si>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</si>
  <si>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</si>
  <si>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</si>
  <si>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</si>
  <si>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</si>
  <si>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</si>
  <si>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</si>
  <si>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</si>
  <si>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</si>
  <si>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</si>
  <si>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</si>
  <si>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</si>
  <si>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</si>
  <si>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</si>
  <si>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</si>
  <si>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</si>
  <si>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</si>
  <si>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</si>
  <si>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</si>
  <si>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</si>
  <si>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</si>
  <si>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</si>
  <si>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7.4x interest cover. Book interest / average debt was lower, at 2.7%.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</si>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</sst>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0.050867542291215484</v>
      </c>
    </row>
    <row r="7" spans="1:2" x14ac:dyDescent="0.25">
      <c r="A7" t="s">
        <v>4</v>
      </c>
      <c r="B7" s="5">
        <v>0.06503165458444557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0.017608325151623475</v>
      </c>
    </row>
    <row r="10" spans="1:3" x14ac:dyDescent="0.25">
      <c r="A10" t="s">
        <v>7</v>
      </c>
      <c r="B10" s="5">
        <v>0.020266047183516184</v>
      </c>
      <c r="C10" s="6" t="s">
        <v>8</v>
      </c>
    </row>
    <row r="11" spans="1:2" x14ac:dyDescent="0.25">
      <c r="A11" t="s">
        <v>9</v>
      </c>
      <c r="B11" s="5">
        <v>0.06808566285205761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12.966359548907787</v>
      </c>
    </row>
    <row r="14" spans="1:3" x14ac:dyDescent="0.25">
      <c r="A14" t="s">
        <v>12</v>
      </c>
      <c r="B14" s="5">
        <v>0.14916809044516247</v>
      </c>
      <c r="C14" s="6" t="s">
        <v>13</v>
      </c>
    </row>
    <row r="15" spans="1:3" x14ac:dyDescent="0.25">
      <c r="A15" t="s">
        <v>14</v>
      </c>
      <c r="B15" s="5">
        <v>0.017608325151623475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0.78359</v>
      </c>
      <c r="C19" s="6" t="s">
        <v>21</v>
      </c>
    </row>
    <row r="20" spans="1:2" x14ac:dyDescent="0.25">
      <c r="A20" t="s">
        <v>22</v>
      </c>
      <c r="B20" s="9">
        <f>B17+B19*B18</f>
        <v>0.08208585700000001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16667245568</v>
      </c>
    </row>
    <row r="23" spans="1:2" x14ac:dyDescent="0.25">
      <c r="A23" t="s">
        <v>26</v>
      </c>
      <c r="B23" s="10">
        <v>6535229000</v>
      </c>
    </row>
    <row r="24" spans="1:2" x14ac:dyDescent="0.25">
      <c r="A24" t="s">
        <v>27</v>
      </c>
      <c r="B24" s="9">
        <f>B22/(B22+B23)</f>
        <v>0.7183391374550563</v>
      </c>
    </row>
    <row r="25" spans="1:2" x14ac:dyDescent="0.25">
      <c r="A25" t="s">
        <v>28</v>
      </c>
      <c r="B25" s="9">
        <f>1-B24</f>
        <v>0.2816608625449437</v>
      </c>
    </row>
    <row r="26" spans="1:2" x14ac:dyDescent="0.25">
      <c r="A26" t="s">
        <v>29</v>
      </c>
      <c r="B26" s="11">
        <f>B24*B20+B25*B21*(1-B8)</f>
        <v>0.07107904142662702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24300141000</v>
      </c>
      <c r="C29" s="6" t="s">
        <v>32</v>
      </c>
    </row>
    <row r="30" spans="1:2" x14ac:dyDescent="0.25">
      <c r="A30" t="s">
        <v>33</v>
      </c>
      <c r="B30" s="10">
        <v>6058050000</v>
      </c>
    </row>
    <row r="31" spans="1:2" x14ac:dyDescent="0.25">
      <c r="A31" t="s">
        <v>34</v>
      </c>
      <c r="B31" s="12">
        <v>139250000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0.050867542291215484</v>
      </c>
      <c r="C5" s="5">
        <v>0.03603482384906287</v>
      </c>
      <c r="D5" s="5">
        <v>0.03465547086793001</v>
      </c>
      <c r="E5" s="5">
        <v>0.03327611788679715</v>
      </c>
      <c r="F5" s="5">
        <v>0.031896764905664295</v>
      </c>
      <c r="G5" s="5">
        <v>0.030517411924531435</v>
      </c>
      <c r="H5" s="5">
        <v>0.029138058943398576</v>
      </c>
      <c r="I5" s="5">
        <v>0.02775870596226572</v>
      </c>
      <c r="J5" s="5">
        <v>0.02637935298113286</v>
      </c>
      <c r="K5" s="5">
        <v>0.025</v>
      </c>
    </row>
    <row r="6" spans="1:11" x14ac:dyDescent="0.25">
      <c r="A6" t="s">
        <v>50</v>
      </c>
      <c r="B6" s="18">
        <f>Assumptions!B29*(1+B5)</f>
        <v>25536229450</v>
      </c>
      <c r="C6" s="18">
        <f>B6*(1+C5)</f>
        <v>26456422980</v>
      </c>
      <c r="D6" s="18">
        <f>C6*(1+D5)</f>
        <v>27373282775.853027</v>
      </c>
      <c r="E6" s="18">
        <f>D6*(1+E5)</f>
        <v>28284159360.450943</v>
      </c>
      <c r="F6" s="18">
        <f>E6*(1+F5)</f>
        <v>29186332542.12559</v>
      </c>
      <c r="G6" s="18">
        <f>F6*(1+G5)</f>
        <v>30077023874.879997</v>
      </c>
      <c r="H6" s="18">
        <f>G6*(1+H5)</f>
        <v>30953409969.388256</v>
      </c>
      <c r="I6" s="18">
        <f>H6*(1+I5)</f>
        <v>31812636575.25797</v>
      </c>
      <c r="J6" s="18">
        <f>I6*(1+J5)</f>
        <v>32651833344.737198</v>
      </c>
      <c r="K6" s="18">
        <f>J6*(1+K5)</f>
        <v>33468129178.355625</v>
      </c>
    </row>
    <row r="7" spans="1:11" x14ac:dyDescent="0.25">
      <c r="A7" t="s">
        <v>4</v>
      </c>
      <c r="B7" s="9">
        <f>Assumptions!B7</f>
        <v>0.06503165458444557</v>
      </c>
      <c r="C7" s="9">
        <f>Assumptions!B7</f>
        <v>0.06503165458444557</v>
      </c>
      <c r="D7" s="9">
        <f>Assumptions!B7</f>
        <v>0.06503165458444557</v>
      </c>
      <c r="E7" s="9">
        <f>Assumptions!B7</f>
        <v>0.06503165458444557</v>
      </c>
      <c r="F7" s="9">
        <f>Assumptions!B7</f>
        <v>0.06503165458444557</v>
      </c>
      <c r="G7" s="9">
        <f>Assumptions!B7</f>
        <v>0.06503165458444557</v>
      </c>
      <c r="H7" s="9">
        <f>Assumptions!B7</f>
        <v>0.06503165458444557</v>
      </c>
      <c r="I7" s="9">
        <f>Assumptions!B7</f>
        <v>0.06503165458444557</v>
      </c>
      <c r="J7" s="9">
        <f>Assumptions!B7</f>
        <v>0.06503165458444557</v>
      </c>
      <c r="K7" s="9">
        <f>Assumptions!B7</f>
        <v>0.06503165458444557</v>
      </c>
    </row>
    <row r="8" spans="1:11" x14ac:dyDescent="0.25">
      <c r="A8" t="s">
        <v>51</v>
      </c>
      <c r="B8" s="18">
        <f>B6*B7</f>
        <v>1660663252.9815464</v>
      </c>
      <c r="C8" s="18">
        <f>C6*C7</f>
        <v>1720504960.7753482</v>
      </c>
      <c r="D8" s="18">
        <f>D6*D7</f>
        <v>1780129870.3216274</v>
      </c>
      <c r="E8" s="18">
        <f>E6*E7</f>
        <v>1839365681.7402587</v>
      </c>
      <c r="F8" s="18">
        <f>F6*F7</f>
        <v>1898035496.4662747</v>
      </c>
      <c r="G8" s="18">
        <f>G6*G7</f>
        <v>1955958627.5593185</v>
      </c>
      <c r="H8" s="18">
        <f>H6*H7</f>
        <v>2012951465.339991</v>
      </c>
      <c r="I8" s="18">
        <f>I6*I7</f>
        <v>2068828393.1826756</v>
      </c>
      <c r="J8" s="18">
        <f>J6*J7</f>
        <v>2123402747.6238315</v>
      </c>
      <c r="K8" s="18">
        <f>K6*K7</f>
        <v>2176487816.314427</v>
      </c>
    </row>
    <row r="9" spans="1:11" x14ac:dyDescent="0.25">
      <c r="A9" t="s">
        <v>52</v>
      </c>
      <c r="B9" s="18">
        <f>B8*(1-Assumptions!B8)</f>
        <v>1311923969.8554218</v>
      </c>
      <c r="C9" s="18">
        <f>C8*(1-Assumptions!B8)</f>
        <v>1359198919.012525</v>
      </c>
      <c r="D9" s="18">
        <f>D8*(1-Assumptions!B8)</f>
        <v>1406302597.5540857</v>
      </c>
      <c r="E9" s="18">
        <f>E8*(1-Assumptions!B8)</f>
        <v>1453098888.5748045</v>
      </c>
      <c r="F9" s="18">
        <f>F8*(1-Assumptions!B8)</f>
        <v>1499448042.208357</v>
      </c>
      <c r="G9" s="18">
        <f>G8*(1-Assumptions!B8)</f>
        <v>1545207315.7718618</v>
      </c>
      <c r="H9" s="18">
        <f>H8*(1-Assumptions!B8)</f>
        <v>1590231657.618593</v>
      </c>
      <c r="I9" s="18">
        <f>I8*(1-Assumptions!B8)</f>
        <v>1634374430.6143138</v>
      </c>
      <c r="J9" s="18">
        <f>J8*(1-Assumptions!B8)</f>
        <v>1677488170.622827</v>
      </c>
      <c r="K9" s="18">
        <f>K8*(1-Assumptions!B8)</f>
        <v>1719425374.8883972</v>
      </c>
    </row>
    <row r="10" spans="1:11" x14ac:dyDescent="0.25">
      <c r="A10" t="s">
        <v>53</v>
      </c>
      <c r="B10" s="18">
        <f>B6*Assumptions!B9</f>
        <v>449650231.3020631</v>
      </c>
      <c r="C10" s="18">
        <f>C6*Assumptions!B9</f>
        <v>465853298.1807233</v>
      </c>
      <c r="D10" s="18">
        <f>D6*Assumptions!B9</f>
        <v>481997663.5845545</v>
      </c>
      <c r="E10" s="18">
        <f>E6*Assumptions!B9</f>
        <v>498036674.6591549</v>
      </c>
      <c r="F10" s="18">
        <f>F6*Assumptions!B9</f>
        <v>513922433.38515675</v>
      </c>
      <c r="G10" s="18">
        <f>G6*Assumptions!B9</f>
        <v>529606015.9820292</v>
      </c>
      <c r="H10" s="18">
        <f>H6*Assumptions!B9</f>
        <v>545037707.292492</v>
      </c>
      <c r="I10" s="18">
        <f>I6*Assumptions!B9</f>
        <v>560167248.7475718</v>
      </c>
      <c r="J10" s="18">
        <f>J6*Assumptions!B9</f>
        <v>574944098.330754</v>
      </c>
      <c r="K10" s="18">
        <f>K6*Assumptions!B9</f>
        <v>589317700.7890229</v>
      </c>
    </row>
    <row r="11" spans="1:11" x14ac:dyDescent="0.25">
      <c r="A11" t="s">
        <v>54</v>
      </c>
      <c r="B11" s="18">
        <f>-B6*B19</f>
        <v>-517518430.92279553</v>
      </c>
      <c r="C11" s="18">
        <f>-C6*C19</f>
        <v>-553665195.1953069</v>
      </c>
      <c r="D11" s="18">
        <f>-D6*D19</f>
        <v>-590957206.1728009</v>
      </c>
      <c r="E11" s="18">
        <f>-E6*E19</f>
        <v>-629328897.6746941</v>
      </c>
      <c r="F11" s="18">
        <f>-F6*F19</f>
        <v>-668706073.9587159</v>
      </c>
      <c r="G11" s="18">
        <f>-G6*G19</f>
        <v>-709005969.5956726</v>
      </c>
      <c r="H11" s="18">
        <f>-H6*H19</f>
        <v>-750137379.4086988</v>
      </c>
      <c r="I11" s="18">
        <f>-I6*I19</f>
        <v>-792000860.4364725</v>
      </c>
      <c r="J11" s="18">
        <f>-J6*J19</f>
        <v>-834489007.1956494</v>
      </c>
      <c r="K11" s="18">
        <f>-K6*K19</f>
        <v>-877486800.788412</v>
      </c>
    </row>
    <row r="12" spans="1:11" x14ac:dyDescent="0.25">
      <c r="A12" t="s">
        <v>55</v>
      </c>
      <c r="B12" s="18">
        <f>-(B6-Assumptions!B29)*Assumptions!B11</f>
        <v>-84159901.46202247</v>
      </c>
      <c r="C12" s="18">
        <f>-(C6-B6)*Assumptions!B11</f>
        <v>-62651986.44222476</v>
      </c>
      <c r="D12" s="18">
        <f>-(D6-C6)*Assumptions!B11</f>
        <v>-62425006.943055585</v>
      </c>
      <c r="E12" s="18">
        <f>-(E6-D6)*Assumptions!B11</f>
        <v>-62017636.03876742</v>
      </c>
      <c r="F12" s="18">
        <f>-(F6-E6)*Assumptions!B11</f>
        <v>-61425059.08166822</v>
      </c>
      <c r="G12" s="18">
        <f>-(G6-F6)*Assumptions!B11</f>
        <v>-60643309.78716634</v>
      </c>
      <c r="H12" s="18">
        <f>-(H6-G6)*Assumptions!B11</f>
        <v>-59669328.15892081</v>
      </c>
      <c r="I12" s="18">
        <f>-(I6-H6)*Assumptions!B11</f>
        <v>-58501013.00076305</v>
      </c>
      <c r="J12" s="18">
        <f>-(J6-I6)*Assumptions!B11</f>
        <v>-57137268.313298695</v>
      </c>
      <c r="K12" s="18">
        <f>-(K6-J6)*Assumptions!B11</f>
        <v>-55578042.91528355</v>
      </c>
    </row>
    <row r="13" spans="1:11" x14ac:dyDescent="0.25">
      <c r="A13" s="19" t="s">
        <v>56</v>
      </c>
      <c r="B13" s="20">
        <f>B9+B10+B11+B12</f>
        <v>1159895868.772667</v>
      </c>
      <c r="C13" s="20">
        <f>C9+C10+C11+C12</f>
        <v>1208735035.5557168</v>
      </c>
      <c r="D13" s="20">
        <f>D9+D10+D11+D12</f>
        <v>1234918048.0227838</v>
      </c>
      <c r="E13" s="20">
        <f>E9+E10+E11+E12</f>
        <v>1259789029.520498</v>
      </c>
      <c r="F13" s="20">
        <f>F9+F10+F11+F12</f>
        <v>1283239342.55313</v>
      </c>
      <c r="G13" s="20">
        <f>G9+G10+G11+G12</f>
        <v>1305164052.371052</v>
      </c>
      <c r="H13" s="20">
        <f>H9+H10+H11+H12</f>
        <v>1325462657.3434656</v>
      </c>
      <c r="I13" s="20">
        <f>I9+I10+I11+I12</f>
        <v>1344039805.9246502</v>
      </c>
      <c r="J13" s="20">
        <f>J9+J10+J11+J12</f>
        <v>1360805993.4446328</v>
      </c>
      <c r="K13" s="20">
        <f>K9+K10+K11+K12</f>
        <v>1375678231.9737246</v>
      </c>
    </row>
    <row r="14" spans="1:11" x14ac:dyDescent="0.25">
      <c r="A14" t="s">
        <v>57</v>
      </c>
      <c r="B14" s="21">
        <f>1/(1+Assumptions!$B$26)^(1-0.5*Assumptions!$B$32)</f>
        <v>0.9662494047417762</v>
      </c>
      <c r="C14" s="21">
        <f>1/(1+Assumptions!$B$26)^(2-0.5*Assumptions!$B$32)</f>
        <v>0.9021270768726622</v>
      </c>
      <c r="D14" s="21">
        <f>1/(1+Assumptions!$B$26)^(3-0.5*Assumptions!$B$32)</f>
        <v>0.8422600405578576</v>
      </c>
      <c r="E14" s="21">
        <f>1/(1+Assumptions!$B$26)^(4-0.5*Assumptions!$B$32)</f>
        <v>0.7863659057654668</v>
      </c>
      <c r="F14" s="21">
        <f>1/(1+Assumptions!$B$26)^(5-0.5*Assumptions!$B$32)</f>
        <v>0.734181022455695</v>
      </c>
      <c r="G14" s="21">
        <f>1/(1+Assumptions!$B$26)^(6-0.5*Assumptions!$B$32)</f>
        <v>0.6854592369558462</v>
      </c>
      <c r="H14" s="21">
        <f>1/(1+Assumptions!$B$26)^(7-0.5*Assumptions!$B$32)</f>
        <v>0.6399707308648731</v>
      </c>
      <c r="I14" s="21">
        <f>1/(1+Assumptions!$B$26)^(8-0.5*Assumptions!$B$32)</f>
        <v>0.5975009370106449</v>
      </c>
      <c r="J14" s="21">
        <f>1/(1+Assumptions!$B$26)^(9-0.5*Assumptions!$B$32)</f>
        <v>0.5578495273465548</v>
      </c>
      <c r="K14" s="21">
        <f>1/(1+Assumptions!$B$26)^(10-0.5*Assumptions!$B$32)</f>
        <v>0.5208294680134207</v>
      </c>
    </row>
    <row r="15" spans="1:11" x14ac:dyDescent="0.25">
      <c r="A15" s="19" t="s">
        <v>58</v>
      </c>
      <c r="B15" s="20">
        <f>B13*B14</f>
        <v>1120748692.7640347</v>
      </c>
      <c r="C15" s="20">
        <f>C13*C14</f>
        <v>1090432604.3394523</v>
      </c>
      <c r="D15" s="20">
        <f>D13*D14</f>
        <v>1040122125.2133002</v>
      </c>
      <c r="E15" s="20">
        <f>E13*E14</f>
        <v>990655141.2722849</v>
      </c>
      <c r="F15" s="20">
        <f>F13*F14</f>
        <v>942129972.5710309</v>
      </c>
      <c r="G15" s="20">
        <f>G13*G14</f>
        <v>894636755.4404614</v>
      </c>
      <c r="H15" s="20">
        <f>H13*H14</f>
        <v>848257305.5541946</v>
      </c>
      <c r="I15" s="20">
        <f>I13*I14</f>
        <v>803065043.4195838</v>
      </c>
      <c r="J15" s="20">
        <f>J13*J14</f>
        <v>759124980.2534473</v>
      </c>
      <c r="K15" s="20">
        <f>K13*K14</f>
        <v>716493761.716518</v>
      </c>
    </row>
    <row r="17" spans="1:2" x14ac:dyDescent="0.25">
      <c r="A17" s="22" t="s">
        <v>59</v>
      </c>
      <c r="B17" s="23">
        <f>SUM(B15:K15)</f>
        <v>9205666382.544308</v>
      </c>
    </row>
    <row r="19" spans="1:11" x14ac:dyDescent="0.25">
      <c r="A19" t="s">
        <v>7</v>
      </c>
      <c r="B19" s="9">
        <f>Assumptions!$B$10+($B$20-Assumptions!$B$10)*0/9</f>
        <v>0.020266047183516184</v>
      </c>
      <c r="C19" s="9">
        <f>Assumptions!$B$10+($B$20-Assumptions!$B$10)*1/9</f>
        <v>0.02092743964722123</v>
      </c>
      <c r="D19" s="9">
        <f>Assumptions!$B$10+($B$20-Assumptions!$B$10)*2/9</f>
        <v>0.021588832110926274</v>
      </c>
      <c r="E19" s="9">
        <f>Assumptions!$B$10+($B$20-Assumptions!$B$10)*3/9</f>
        <v>0.02225022457463132</v>
      </c>
      <c r="F19" s="9">
        <f>Assumptions!$B$10+($B$20-Assumptions!$B$10)*4/9</f>
        <v>0.022911617038336368</v>
      </c>
      <c r="G19" s="9">
        <f>Assumptions!$B$10+($B$20-Assumptions!$B$10)*5/9</f>
        <v>0.02357300950204141</v>
      </c>
      <c r="H19" s="9">
        <f>Assumptions!$B$10+($B$20-Assumptions!$B$10)*6/9</f>
        <v>0.024234401965746458</v>
      </c>
      <c r="I19" s="9">
        <f>Assumptions!$B$10+($B$20-Assumptions!$B$10)*7/9</f>
        <v>0.024895794429451504</v>
      </c>
      <c r="J19" s="9">
        <f>Assumptions!$B$10+($B$20-Assumptions!$B$10)*8/9</f>
        <v>0.025557186893156548</v>
      </c>
      <c r="K19" s="9">
        <f>Assumptions!$B$10+($B$20-Assumptions!$B$10)*9/9</f>
        <v>0.026218579356861595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0.026218579356861595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1375678231.9737246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1719425374.8883972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0.1675961656772067</v>
      </c>
    </row>
    <row r="7" spans="1:2" x14ac:dyDescent="0.25">
      <c r="A7" t="s">
        <v>66</v>
      </c>
      <c r="B7" s="18">
        <f>-MAX(B5,0)*B6</f>
        <v>-288169099.99938905</v>
      </c>
    </row>
    <row r="8" spans="1:2" x14ac:dyDescent="0.25">
      <c r="A8" t="s">
        <v>67</v>
      </c>
      <c r="B8" s="18">
        <f>IF(OR(Assumptions!$B$33=0,Assumptions!B12&lt;=0),B5,MAX(B5+B7,0))</f>
        <v>1431256274.889008</v>
      </c>
    </row>
    <row r="9" spans="1:2" x14ac:dyDescent="0.25">
      <c r="A9" t="s">
        <v>68</v>
      </c>
      <c r="B9" s="18">
        <f>B8*(1+Assumptions!B12)/(Assumptions!B26-Assumptions!B12)</f>
        <v>31837417540.40694</v>
      </c>
    </row>
    <row r="10" spans="1:2" x14ac:dyDescent="0.25">
      <c r="A10" t="s">
        <v>69</v>
      </c>
      <c r="B10" s="18">
        <f>B9/(1+Assumptions!B26)^(10-0.5*Assumptions!B32)</f>
        <v>16581865240.491295</v>
      </c>
    </row>
    <row r="11" spans="1:2" x14ac:dyDescent="0.25">
      <c r="A11" t="s">
        <v>70</v>
      </c>
      <c r="B11" s="18">
        <f>Forecast!B17+B10</f>
        <v>25787531623.035603</v>
      </c>
    </row>
    <row r="12" spans="1:2" x14ac:dyDescent="0.25">
      <c r="A12" t="s">
        <v>71</v>
      </c>
      <c r="B12" s="18">
        <f>-Assumptions!B30</f>
        <v>-6058050000</v>
      </c>
    </row>
    <row r="13" spans="1:2" x14ac:dyDescent="0.25">
      <c r="A13" t="s">
        <v>72</v>
      </c>
      <c r="B13" s="18">
        <f>B11+B12</f>
        <v>19729481623.035603</v>
      </c>
    </row>
    <row r="14" spans="1:2" x14ac:dyDescent="0.25">
      <c r="A14" s="19" t="s">
        <v>73</v>
      </c>
      <c r="B14" s="24">
        <f>B13/Assumptions!B31</f>
        <v>141.68388957296662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2765805517.10345</v>
      </c>
    </row>
    <row r="18" spans="1:2" x14ac:dyDescent="0.25">
      <c r="A18" t="s">
        <v>68</v>
      </c>
      <c r="B18" s="18">
        <f>B17*Assumptions!B13</f>
        <v>35862428777.11616</v>
      </c>
    </row>
    <row r="19" spans="1:2" x14ac:dyDescent="0.25">
      <c r="A19" t="s">
        <v>69</v>
      </c>
      <c r="B19" s="18">
        <f>B18/(1+Assumptions!B26)^(10-0.5*Assumptions!B32)</f>
        <v>18678209701.6546</v>
      </c>
    </row>
    <row r="20" spans="1:2" x14ac:dyDescent="0.25">
      <c r="A20" t="s">
        <v>70</v>
      </c>
      <c r="B20" s="18">
        <f>Forecast!B17+B19</f>
        <v>27883876084.198906</v>
      </c>
    </row>
    <row r="21" spans="1:2" x14ac:dyDescent="0.25">
      <c r="A21" t="s">
        <v>71</v>
      </c>
      <c r="B21" s="18">
        <f>-Assumptions!B30</f>
        <v>-6058050000</v>
      </c>
    </row>
    <row r="22" spans="1:2" x14ac:dyDescent="0.25">
      <c r="A22" t="s">
        <v>72</v>
      </c>
      <c r="B22" s="18">
        <f>B20+B21</f>
        <v>21825826084.198906</v>
      </c>
    </row>
    <row r="23" spans="1:2" x14ac:dyDescent="0.25">
      <c r="A23" s="19" t="s">
        <v>73</v>
      </c>
      <c r="B23" s="25">
        <f>B22/Assumptions!B31</f>
        <v>156.7384278937085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120.9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141.68388957296662</v>
      </c>
    </row>
    <row r="29" spans="1:2" x14ac:dyDescent="0.25">
      <c r="A29" s="19" t="s">
        <v>81</v>
      </c>
      <c r="B29" s="11">
        <f>B28/B26-1</f>
        <v>0.17190975660022012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0.051079</v>
      </c>
      <c r="B5" s="31">
        <v>226.0623632818741</v>
      </c>
      <c r="C5" s="31">
        <v>248.65597453851657</v>
      </c>
      <c r="D5" s="31">
        <v>280.3401302231535</v>
      </c>
      <c r="E5" s="31">
        <v>327.5837409302115</v>
      </c>
      <c r="F5" s="31">
        <v>404.9021263522283</v>
      </c>
    </row>
    <row r="6" spans="1:6" x14ac:dyDescent="0.25">
      <c r="A6" s="30">
        <v>0.061079</v>
      </c>
      <c r="B6" s="31">
        <v>167.39931942033593</v>
      </c>
      <c r="C6" s="31">
        <v>177.98446644739207</v>
      </c>
      <c r="D6" s="31">
        <v>191.79492235605997</v>
      </c>
      <c r="E6" s="31">
        <v>210.38735348773363</v>
      </c>
      <c r="F6" s="31">
        <v>236.51223449040882</v>
      </c>
    </row>
    <row r="7" spans="1:6" x14ac:dyDescent="0.25">
      <c r="A7" s="30">
        <v>0.071079</v>
      </c>
      <c r="B7" s="31">
        <v>129.7167386109959</v>
      </c>
      <c r="C7" s="31">
        <v>135.01740576136376</v>
      </c>
      <c r="D7" s="32">
        <v>141.684052110873</v>
      </c>
      <c r="E7" s="31">
        <v>150.2154650688356</v>
      </c>
      <c r="F7" s="31">
        <v>161.38692940275604</v>
      </c>
    </row>
    <row r="8" spans="1:6" x14ac:dyDescent="0.25">
      <c r="A8" s="30">
        <v>0.081079</v>
      </c>
      <c r="B8" s="31">
        <v>103.48476001127783</v>
      </c>
      <c r="C8" s="31">
        <v>106.1442302480683</v>
      </c>
      <c r="D8" s="31">
        <v>109.44552444875644</v>
      </c>
      <c r="E8" s="31">
        <v>113.57712240853148</v>
      </c>
      <c r="F8" s="31">
        <v>118.80931116457525</v>
      </c>
    </row>
    <row r="9" spans="1:6" x14ac:dyDescent="0.25">
      <c r="A9" s="30">
        <v>0.091079</v>
      </c>
      <c r="B9" s="31">
        <v>84.18444693612129</v>
      </c>
      <c r="C9" s="31">
        <v>85.41406994507483</v>
      </c>
      <c r="D9" s="31">
        <v>86.96441553433033</v>
      </c>
      <c r="E9" s="31">
        <v>88.91424790606098</v>
      </c>
      <c r="F9" s="31">
        <v>91.3704217070529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24300141000</v>
      </c>
      <c r="C5" s="18">
        <v>23486569000</v>
      </c>
      <c r="D5" s="18">
        <v>23090610000</v>
      </c>
      <c r="E5" s="18">
        <v>22095973000</v>
      </c>
      <c r="F5" s="6" t="s">
        <v>91</v>
      </c>
    </row>
    <row r="6" spans="1:6" x14ac:dyDescent="0.25">
      <c r="A6" t="s">
        <v>51</v>
      </c>
      <c r="B6" s="18">
        <v>1214612000</v>
      </c>
      <c r="C6" s="18">
        <v>1442736000</v>
      </c>
      <c r="D6" s="18">
        <v>1747053000</v>
      </c>
      <c r="E6" s="18">
        <v>1614199000</v>
      </c>
      <c r="F6" s="6" t="s">
        <v>92</v>
      </c>
    </row>
    <row r="7" spans="1:6" x14ac:dyDescent="0.25">
      <c r="A7" t="s">
        <v>93</v>
      </c>
      <c r="B7" s="18">
        <v>538023000</v>
      </c>
      <c r="C7" s="18">
        <v>407978000</v>
      </c>
      <c r="D7" s="18">
        <v>350529000</v>
      </c>
      <c r="E7" s="18">
        <v>347819000</v>
      </c>
      <c r="F7" s="6" t="s">
        <v>94</v>
      </c>
    </row>
    <row r="8" spans="1:6" x14ac:dyDescent="0.25">
      <c r="A8" t="s">
        <v>95</v>
      </c>
      <c r="B8" s="18">
        <v>469838000</v>
      </c>
      <c r="C8" s="18">
        <v>567339000</v>
      </c>
      <c r="D8" s="18">
        <v>512675000</v>
      </c>
      <c r="E8" s="18">
        <v>339632000</v>
      </c>
      <c r="F8" s="6" t="s">
        <v>96</v>
      </c>
    </row>
    <row r="9" spans="1:6" x14ac:dyDescent="0.25">
      <c r="A9" t="s">
        <v>97</v>
      </c>
      <c r="B9" s="18">
        <v>380349000</v>
      </c>
      <c r="C9" s="18">
        <v>87322000</v>
      </c>
      <c r="D9" s="18">
        <v>289157000</v>
      </c>
      <c r="E9" s="18">
        <v>19401000</v>
      </c>
      <c r="F9" s="6" t="s">
        <v>98</v>
      </c>
    </row>
    <row r="10" spans="1:6" x14ac:dyDescent="0.25">
      <c r="A10" t="s">
        <v>99</v>
      </c>
      <c r="B10" s="18">
        <v>6535229000</v>
      </c>
      <c r="C10" s="18">
        <v>5742736000</v>
      </c>
      <c r="D10" s="18">
        <v>4886166000</v>
      </c>
      <c r="E10" s="18">
        <v>4164842000</v>
      </c>
      <c r="F10" s="6" t="s">
        <v>100</v>
      </c>
    </row>
    <row r="11" spans="1:6" x14ac:dyDescent="0.25">
      <c r="A11" t="s">
        <v>101</v>
      </c>
      <c r="B11" s="18">
        <v>477179000</v>
      </c>
      <c r="C11" s="18">
        <v>479991000</v>
      </c>
      <c r="D11" s="18">
        <v>1102007000</v>
      </c>
      <c r="E11" s="18">
        <v>653463000</v>
      </c>
      <c r="F11" s="6" t="s">
        <v>102</v>
      </c>
    </row>
    <row r="12" spans="1:6" x14ac:dyDescent="0.25">
      <c r="A12" t="s">
        <v>34</v>
      </c>
      <c r="B12" s="34">
        <v>139250000</v>
      </c>
      <c r="C12" s="34">
        <v>139670000</v>
      </c>
      <c r="D12" s="34">
        <v>141034000</v>
      </c>
      <c r="E12" s="34">
        <v>142322000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