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<sst xmlns="http://schemas.openxmlformats.org/spreadsheetml/2006/main" count="111" uniqueCount="99">
  <si>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Global Payments Inc. (GPN)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</si>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</sst>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-0.0495682906305519</v>
      </c>
    </row>
    <row r="7" spans="1:2" x14ac:dyDescent="0.25">
      <c r="A7" t="s">
        <v>5</v>
      </c>
      <c r="B7" s="6">
        <v>0.19851433097103868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0.21259597827337015</v>
      </c>
    </row>
    <row r="10" spans="1:2" x14ac:dyDescent="0.25">
      <c r="A10" t="s">
        <v>8</v>
      </c>
      <c r="B10" s="6">
        <v>0.08129666898571786</v>
      </c>
    </row>
    <row r="11" spans="1:2" x14ac:dyDescent="0.25">
      <c r="A11" t="s">
        <v>9</v>
      </c>
      <c r="B11" s="6">
        <v>-0.22697998597507976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12.481600458291872</v>
      </c>
    </row>
    <row r="14" spans="1:3" x14ac:dyDescent="0.25">
      <c r="A14" t="s">
        <v>12</v>
      </c>
      <c r="B14" s="6">
        <v>0.06868789816363169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0.85595</v>
      </c>
      <c r="C19" s="8" t="s">
        <v>19</v>
      </c>
    </row>
    <row r="20" spans="1:2" x14ac:dyDescent="0.25">
      <c r="A20" t="s">
        <v>20</v>
      </c>
      <c r="B20" s="10">
        <f>B17+B19*B18</f>
        <v>0.09705725000000001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22508439552</v>
      </c>
    </row>
    <row r="23" spans="1:2" x14ac:dyDescent="0.25">
      <c r="A23" t="s">
        <v>24</v>
      </c>
      <c r="B23" s="11">
        <v>21865376000</v>
      </c>
    </row>
    <row r="24" spans="1:2" x14ac:dyDescent="0.25">
      <c r="A24" t="s">
        <v>25</v>
      </c>
      <c r="B24" s="10">
        <f>B22/(B22+B23)</f>
        <v>0.5072459799095529</v>
      </c>
    </row>
    <row r="25" spans="1:2" x14ac:dyDescent="0.25">
      <c r="A25" t="s">
        <v>26</v>
      </c>
      <c r="B25" s="10">
        <f>1-B24</f>
        <v>0.4927540200904471</v>
      </c>
    </row>
    <row r="26" spans="1:2" x14ac:dyDescent="0.25">
      <c r="A26" t="s">
        <v>27</v>
      </c>
      <c r="B26" s="12">
        <f>B24*B20+B25*B21*(1-B8)</f>
        <v>0.06868789816363169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7705878000</v>
      </c>
      <c r="C29" s="8" t="s">
        <v>30</v>
      </c>
    </row>
    <row r="30" spans="1:2" x14ac:dyDescent="0.25">
      <c r="A30" t="s">
        <v>31</v>
      </c>
      <c r="B30" s="11">
        <v>13528974000</v>
      </c>
    </row>
    <row r="31" spans="1:2" x14ac:dyDescent="0.25">
      <c r="A31" t="s">
        <v>32</v>
      </c>
      <c r="B31" s="13">
        <v>241814680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-0.0495682906305519</v>
      </c>
      <c r="C5" s="10">
        <f>Assumptions!B6</f>
        <v>-0.0495682906305519</v>
      </c>
      <c r="D5" s="10">
        <f>Assumptions!B6</f>
        <v>-0.0495682906305519</v>
      </c>
      <c r="E5" s="10">
        <f>Assumptions!B6</f>
        <v>-0.0495682906305519</v>
      </c>
      <c r="F5" s="10">
        <f>Assumptions!B6</f>
        <v>-0.0495682906305519</v>
      </c>
    </row>
    <row r="6" spans="1:6" x14ac:dyDescent="0.25">
      <c r="A6" t="s">
        <v>43</v>
      </c>
      <c r="B6" s="18">
        <f>Assumptions!B29*(1+B5)</f>
        <v>7323910799.732424</v>
      </c>
      <c r="C6" s="18">
        <f>B6*(1+C5)</f>
        <v>6960877060.659049</v>
      </c>
      <c r="D6" s="18">
        <f>C6*(1+D5)</f>
        <v>6615838283.472759</v>
      </c>
      <c r="E6" s="18">
        <f>D6*(1+E5)</f>
        <v>6287902488.67285</v>
      </c>
      <c r="F6" s="18">
        <f>E6*(1+F5)</f>
        <v>5976221910.657743</v>
      </c>
    </row>
    <row r="7" spans="1:6" x14ac:dyDescent="0.25">
      <c r="A7" t="s">
        <v>5</v>
      </c>
      <c r="B7" s="10">
        <f>Assumptions!B7</f>
        <v>0.19851433097103868</v>
      </c>
      <c r="C7" s="10">
        <f>Assumptions!B7</f>
        <v>0.19851433097103868</v>
      </c>
      <c r="D7" s="10">
        <f>Assumptions!B7</f>
        <v>0.19851433097103868</v>
      </c>
      <c r="E7" s="10">
        <f>Assumptions!B7</f>
        <v>0.19851433097103868</v>
      </c>
      <c r="F7" s="10">
        <f>Assumptions!B7</f>
        <v>0.19851433097103868</v>
      </c>
    </row>
    <row r="8" spans="1:6" x14ac:dyDescent="0.25">
      <c r="A8" t="s">
        <v>44</v>
      </c>
      <c r="B8" s="18">
        <f>B6*B7</f>
        <v>1453901252.500447</v>
      </c>
      <c r="C8" s="18">
        <f>C6*C7</f>
        <v>1381833852.6683815</v>
      </c>
      <c r="D8" s="18">
        <f>D6*D7</f>
        <v>1313338710.6561797</v>
      </c>
      <c r="E8" s="18">
        <f>E6*E7</f>
        <v>1248238755.7500198</v>
      </c>
      <c r="F8" s="18">
        <f>F6*F7</f>
        <v>1186365694.3286846</v>
      </c>
    </row>
    <row r="9" spans="1:6" x14ac:dyDescent="0.25">
      <c r="A9" t="s">
        <v>45</v>
      </c>
      <c r="B9" s="18">
        <f>B8*(1-Assumptions!B8)</f>
        <v>1148581989.4753532</v>
      </c>
      <c r="C9" s="18">
        <f>C8*(1-Assumptions!B8)</f>
        <v>1091648743.6080215</v>
      </c>
      <c r="D9" s="18">
        <f>D8*(1-Assumptions!B8)</f>
        <v>1037537581.4183819</v>
      </c>
      <c r="E9" s="18">
        <f>E8*(1-Assumptions!B8)</f>
        <v>986108617.0425156</v>
      </c>
      <c r="F9" s="18">
        <f>F8*(1-Assumptions!B8)</f>
        <v>937228898.5196608</v>
      </c>
    </row>
    <row r="10" spans="1:6" x14ac:dyDescent="0.25">
      <c r="A10" t="s">
        <v>46</v>
      </c>
      <c r="B10" s="18">
        <f>B6*Assumptions!B9</f>
        <v>1557033981.2560153</v>
      </c>
      <c r="C10" s="18">
        <f>C6*Assumptions!B9</f>
        <v>1479854468.351472</v>
      </c>
      <c r="D10" s="18">
        <f>D6*Assumptions!B9</f>
        <v>1406500611.9733052</v>
      </c>
      <c r="E10" s="18">
        <f>E6*Assumptions!B9</f>
        <v>1336782780.8669631</v>
      </c>
      <c r="F10" s="18">
        <f>F6*Assumptions!B9</f>
        <v>1270520743.4750323</v>
      </c>
    </row>
    <row r="11" spans="1:6" x14ac:dyDescent="0.25">
      <c r="A11" t="s">
        <v>47</v>
      </c>
      <c r="B11" s="18">
        <f>-B6*Assumptions!B10</f>
        <v>-595409551.966771</v>
      </c>
      <c r="C11" s="18">
        <f>-C6*Assumptions!B10</f>
        <v>-565896118.2506754</v>
      </c>
      <c r="D11" s="18">
        <f>-D6*Assumptions!B10</f>
        <v>-537845614.9945247</v>
      </c>
      <c r="E11" s="18">
        <f>-E6*Assumptions!B10</f>
        <v>-511185527.2361082</v>
      </c>
      <c r="F11" s="18">
        <f>-F6*Assumptions!B10</f>
        <v>-485846934.4559369</v>
      </c>
    </row>
    <row r="12" spans="1:6" x14ac:dyDescent="0.25">
      <c r="A12" t="s">
        <v>48</v>
      </c>
      <c r="B12" s="18">
        <f>-(B6-Assumptions!B29)*Assumptions!B11</f>
        <v>-86698909.75967494</v>
      </c>
      <c r="C12" s="18">
        <f>-(C6-B6)*Assumptions!B11</f>
        <v>-82401393.00335537</v>
      </c>
      <c r="D12" s="18">
        <f>-(D6-C6)*Assumptions!B11</f>
        <v>-78316896.80660273</v>
      </c>
      <c r="E12" s="18">
        <f>-(E6-D6)*Assumptions!B11</f>
        <v>-74434862.10441011</v>
      </c>
      <c r="F12" s="18">
        <f>-(F6-E6)*Assumptions!B11</f>
        <v>-70745253.22657356</v>
      </c>
    </row>
    <row r="13" spans="1:6" x14ac:dyDescent="0.25">
      <c r="A13" s="19" t="s">
        <v>49</v>
      </c>
      <c r="B13" s="20">
        <f>B9+B10+B11+B12</f>
        <v>2023507509.0049224</v>
      </c>
      <c r="C13" s="20">
        <f>C9+C10+C11+C12</f>
        <v>1923205700.705463</v>
      </c>
      <c r="D13" s="20">
        <f>D9+D10+D11+D12</f>
        <v>1827875681.59056</v>
      </c>
      <c r="E13" s="20">
        <f>E9+E10+E11+E12</f>
        <v>1737271008.5689602</v>
      </c>
      <c r="F13" s="20">
        <f>F9+F10+F11+F12</f>
        <v>1651157454.312183</v>
      </c>
    </row>
    <row r="14" spans="1:6" x14ac:dyDescent="0.25">
      <c r="A14" t="s">
        <v>50</v>
      </c>
      <c r="B14" s="21">
        <f>1/(1+Assumptions!$B$26)^(1-0.5*Assumptions!$B$32)</f>
        <v>0.9673297715281445</v>
      </c>
      <c r="C14" s="21">
        <f>1/(1+Assumptions!$B$26)^(2-0.5*Assumptions!$B$32)</f>
        <v>0.9051564757029112</v>
      </c>
      <c r="D14" s="21">
        <f>1/(1+Assumptions!$B$26)^(3-0.5*Assumptions!$B$32)</f>
        <v>0.8469792511530047</v>
      </c>
      <c r="E14" s="21">
        <f>1/(1+Assumptions!$B$26)^(4-0.5*Assumptions!$B$32)</f>
        <v>0.7925412579373289</v>
      </c>
      <c r="F14" s="21">
        <f>1/(1+Assumptions!$B$26)^(5-0.5*Assumptions!$B$32)</f>
        <v>0.7416021640173746</v>
      </c>
    </row>
    <row r="15" spans="1:6" x14ac:dyDescent="0.25">
      <c r="A15" s="19" t="s">
        <v>51</v>
      </c>
      <c r="B15" s="20">
        <f>B13*B14</f>
        <v>1957399056.3712163</v>
      </c>
      <c r="C15" s="20">
        <f>C13*C14</f>
        <v>1740802094.1023047</v>
      </c>
      <c r="D15" s="20">
        <f>D13*D14</f>
        <v>1548172775.9943604</v>
      </c>
      <c r="E15" s="20">
        <f>E13*E14</f>
        <v>1376858950.5092957</v>
      </c>
      <c r="F15" s="20">
        <f>F13*F14</f>
        <v>1224501941.2513342</v>
      </c>
    </row>
    <row r="17" spans="1:2" x14ac:dyDescent="0.25">
      <c r="A17" s="22" t="s">
        <v>52</v>
      </c>
      <c r="B17" s="23">
        <f>SUM(B15:F15)</f>
        <v>7847734818.228512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1651157454.312183</v>
      </c>
    </row>
    <row r="5" spans="1:2" x14ac:dyDescent="0.25">
      <c r="A5" t="s">
        <v>56</v>
      </c>
      <c r="B5" s="18">
        <f>IF(Assumptions!$B$33=0,B4,B4-Forecast!F11-Forecast!F10-Forecast!F12)</f>
        <v>1675758219.366486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0.36396513313660833</v>
      </c>
    </row>
    <row r="7" spans="1:2" x14ac:dyDescent="0.25">
      <c r="A7" t="s">
        <v>58</v>
      </c>
      <c r="B7" s="18">
        <f>-MAX(Forecast!F9,0)*B6</f>
        <v>-609917563.4164888</v>
      </c>
    </row>
    <row r="8" spans="1:2" x14ac:dyDescent="0.25">
      <c r="A8" t="s">
        <v>59</v>
      </c>
      <c r="B8" s="18">
        <f>IF(OR(Assumptions!$B$33=0,Assumptions!B12&lt;=0),B5,MAX(B5+B7,0))</f>
        <v>1065840655.9499973</v>
      </c>
    </row>
    <row r="9" spans="1:2" x14ac:dyDescent="0.25">
      <c r="A9" t="s">
        <v>60</v>
      </c>
      <c r="B9" s="18">
        <f>B8*(1+Assumptions!B12)/(Assumptions!B26-Assumptions!B12)</f>
        <v>25006620100.07604</v>
      </c>
    </row>
    <row r="10" spans="1:2" x14ac:dyDescent="0.25">
      <c r="A10" t="s">
        <v>61</v>
      </c>
      <c r="B10" s="18">
        <f>B9/(1+Assumptions!B26)^(5-0.5*Assumptions!B32)</f>
        <v>18544963580.976765</v>
      </c>
    </row>
    <row r="11" spans="1:2" x14ac:dyDescent="0.25">
      <c r="A11" t="s">
        <v>62</v>
      </c>
      <c r="B11" s="18">
        <f>Forecast!B17+B10</f>
        <v>26392698399.205276</v>
      </c>
    </row>
    <row r="12" spans="1:2" x14ac:dyDescent="0.25">
      <c r="A12" t="s">
        <v>63</v>
      </c>
      <c r="B12" s="18">
        <f>-Assumptions!B30</f>
        <v>-13528974000</v>
      </c>
    </row>
    <row r="13" spans="1:2" x14ac:dyDescent="0.25">
      <c r="A13" t="s">
        <v>64</v>
      </c>
      <c r="B13" s="18">
        <f>B11+B12</f>
        <v>12863724399.205276</v>
      </c>
    </row>
    <row r="14" spans="1:2" x14ac:dyDescent="0.25">
      <c r="A14" s="19" t="s">
        <v>65</v>
      </c>
      <c r="B14" s="24">
        <f>B13/Assumptions!B31</f>
        <v>53.196623129767296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2456886437.8037167</v>
      </c>
    </row>
    <row r="18" spans="1:2" x14ac:dyDescent="0.25">
      <c r="A18" t="s">
        <v>60</v>
      </c>
      <c r="B18" s="18">
        <f>B17*Assumptions!B13</f>
        <v>30665874888.061954</v>
      </c>
    </row>
    <row r="19" spans="1:2" x14ac:dyDescent="0.25">
      <c r="A19" t="s">
        <v>61</v>
      </c>
      <c r="B19" s="18">
        <f>B18/(1+Assumptions!B26)^(5-0.5*Assumptions!B32)</f>
        <v>22741879178.47281</v>
      </c>
    </row>
    <row r="20" spans="1:2" x14ac:dyDescent="0.25">
      <c r="A20" t="s">
        <v>62</v>
      </c>
      <c r="B20" s="18">
        <f>Forecast!B17+B19</f>
        <v>30589613996.70132</v>
      </c>
    </row>
    <row r="21" spans="1:2" x14ac:dyDescent="0.25">
      <c r="A21" t="s">
        <v>63</v>
      </c>
      <c r="B21" s="18">
        <f>-Assumptions!B30</f>
        <v>-13528974000</v>
      </c>
    </row>
    <row r="22" spans="1:2" x14ac:dyDescent="0.25">
      <c r="A22" t="s">
        <v>64</v>
      </c>
      <c r="B22" s="18">
        <f>B20+B21</f>
        <v>17060639996.70132</v>
      </c>
    </row>
    <row r="23" spans="1:2" x14ac:dyDescent="0.25">
      <c r="A23" s="19" t="s">
        <v>65</v>
      </c>
      <c r="B23" s="25">
        <f>B22/Assumptions!B31</f>
        <v>70.55254046901256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85.06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53.196623129767296</v>
      </c>
    </row>
    <row r="29" spans="1:2" x14ac:dyDescent="0.25">
      <c r="A29" s="19" t="s">
        <v>73</v>
      </c>
      <c r="B29" s="12">
        <f>B28/B26-1</f>
        <v>-0.3745988345900859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0.048688</v>
      </c>
      <c r="B5" s="31">
        <v>94.58226689287795</v>
      </c>
      <c r="C5" s="31">
        <v>95.15687059815069</v>
      </c>
      <c r="D5" s="31">
        <v>95.73147430342338</v>
      </c>
      <c r="E5" s="31">
        <v>96.30607800869612</v>
      </c>
      <c r="F5" s="31">
        <v>96.88068171396885</v>
      </c>
    </row>
    <row r="6" spans="1:6" x14ac:dyDescent="0.25">
      <c r="A6" s="30">
        <v>0.058688</v>
      </c>
      <c r="B6" s="31">
        <v>69.93116415749441</v>
      </c>
      <c r="C6" s="31">
        <v>70.3879298044445</v>
      </c>
      <c r="D6" s="31">
        <v>70.84469545139459</v>
      </c>
      <c r="E6" s="31">
        <v>71.30146109834467</v>
      </c>
      <c r="F6" s="31">
        <v>71.75822674529475</v>
      </c>
    </row>
    <row r="7" spans="1:6" x14ac:dyDescent="0.25">
      <c r="A7" s="30">
        <v>0.068688</v>
      </c>
      <c r="B7" s="31">
        <v>52.448267942190995</v>
      </c>
      <c r="C7" s="31">
        <v>52.82236873734848</v>
      </c>
      <c r="D7" s="32">
        <v>53.196469532505915</v>
      </c>
      <c r="E7" s="31">
        <v>53.57057032766338</v>
      </c>
      <c r="F7" s="31">
        <v>53.94467112282082</v>
      </c>
    </row>
    <row r="8" spans="1:6" x14ac:dyDescent="0.25">
      <c r="A8" s="30">
        <v>0.078688</v>
      </c>
      <c r="B8" s="31">
        <v>39.400904558020734</v>
      </c>
      <c r="C8" s="31">
        <v>39.714059218853315</v>
      </c>
      <c r="D8" s="31">
        <v>40.02721387968588</v>
      </c>
      <c r="E8" s="31">
        <v>40.340368540518476</v>
      </c>
      <c r="F8" s="31">
        <v>40.65352320135103</v>
      </c>
    </row>
    <row r="9" spans="1:6" x14ac:dyDescent="0.25">
      <c r="A9" s="30">
        <v>0.088688</v>
      </c>
      <c r="B9" s="31">
        <v>29.28888238140505</v>
      </c>
      <c r="C9" s="31">
        <v>29.555426053864807</v>
      </c>
      <c r="D9" s="31">
        <v>29.821969726324518</v>
      </c>
      <c r="E9" s="31">
        <v>30.08851339878426</v>
      </c>
      <c r="F9" s="31">
        <v>30.355057071243973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7705878000</v>
      </c>
      <c r="C5" s="18">
        <v>7735970000</v>
      </c>
      <c r="D5" s="18">
        <v>7379784000</v>
      </c>
      <c r="E5" s="18">
        <v>8975515000</v>
      </c>
      <c r="F5" s="8" t="s">
        <v>84</v>
      </c>
    </row>
    <row r="6" spans="1:6" x14ac:dyDescent="0.25">
      <c r="A6" t="s">
        <v>44</v>
      </c>
      <c r="B6" s="18">
        <v>1471866000</v>
      </c>
      <c r="C6" s="18">
        <v>1701366000</v>
      </c>
      <c r="D6" s="18">
        <v>1452358000</v>
      </c>
      <c r="E6" s="18">
        <v>1672320000</v>
      </c>
      <c r="F6" s="8" t="s">
        <v>85</v>
      </c>
    </row>
    <row r="7" spans="1:6" x14ac:dyDescent="0.25">
      <c r="A7" t="s">
        <v>86</v>
      </c>
      <c r="B7" s="18">
        <v>1415377000</v>
      </c>
      <c r="C7" s="18">
        <v>1862331000</v>
      </c>
      <c r="D7" s="18">
        <v>1776692000</v>
      </c>
      <c r="E7" s="18">
        <v>1662455000</v>
      </c>
      <c r="F7" s="8" t="s">
        <v>87</v>
      </c>
    </row>
    <row r="8" spans="1:6" x14ac:dyDescent="0.25">
      <c r="A8" t="s">
        <v>88</v>
      </c>
      <c r="B8" s="18">
        <v>617769000</v>
      </c>
      <c r="C8" s="18">
        <v>674917000</v>
      </c>
      <c r="D8" s="18">
        <v>658142000</v>
      </c>
      <c r="E8" s="18">
        <v>615652000</v>
      </c>
      <c r="F8" s="8" t="s">
        <v>89</v>
      </c>
    </row>
    <row r="9" spans="1:6" x14ac:dyDescent="0.25">
      <c r="A9" t="s">
        <v>90</v>
      </c>
      <c r="B9" s="18">
        <v>346657000</v>
      </c>
      <c r="C9" s="18">
        <v>261386000</v>
      </c>
      <c r="D9" s="18">
        <v>362199000</v>
      </c>
      <c r="E9" s="18">
        <v>738444000</v>
      </c>
      <c r="F9" s="8" t="s">
        <v>91</v>
      </c>
    </row>
    <row r="10" spans="1:6" x14ac:dyDescent="0.25">
      <c r="A10" t="s">
        <v>92</v>
      </c>
      <c r="B10" s="18">
        <v>21865376000</v>
      </c>
      <c r="C10" s="18">
        <v>16661007000</v>
      </c>
      <c r="D10" s="18">
        <v>17375822000</v>
      </c>
      <c r="E10" s="18">
        <v>14285897000</v>
      </c>
      <c r="F10" s="8" t="s">
        <v>93</v>
      </c>
    </row>
    <row r="11" spans="1:6" x14ac:dyDescent="0.25">
      <c r="A11" t="s">
        <v>94</v>
      </c>
      <c r="B11" s="18">
        <v>8336402000</v>
      </c>
      <c r="C11" s="18">
        <v>2356470000</v>
      </c>
      <c r="D11" s="18">
        <v>2088887000</v>
      </c>
      <c r="E11" s="18">
        <v>1997566000</v>
      </c>
      <c r="F11" s="8" t="s">
        <v>95</v>
      </c>
    </row>
    <row r="12" spans="1:6" x14ac:dyDescent="0.25">
      <c r="A12" t="s">
        <v>32</v>
      </c>
      <c r="B12" s="34">
        <v>241814680</v>
      </c>
      <c r="C12" s="34">
        <v>254845000</v>
      </c>
      <c r="D12" s="34">
        <v>261698000</v>
      </c>
      <c r="E12" s="34">
        <v>275576000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