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<sst xmlns="http://schemas.openxmlformats.org/spreadsheetml/2006/main" count="119" uniqueCount="106">
  <si>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Global Payments Inc. (GPN)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</si>
  <si>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</si>
  <si>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</si>
  <si>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</si>
  <si>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</si>
  <si>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</si>
  <si>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</si>
  <si>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</si>
  <si>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</si>
  <si>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</si>
  <si>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</si>
  <si>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</si>
  <si>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</si>
  <si>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</si>
  <si>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</si>
  <si>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</si>
  <si>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</si>
  <si>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</si>
  <si>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</si>
  <si>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</si>
  <si>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</si>
  <si>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</si>
  <si>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</si>
  <si>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</si>
  <si>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2.3x interest cover. Book interest / average debt was lower, at 3.4%.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</si>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</sst>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0.19851433097103868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0.21259597827337015</v>
      </c>
    </row>
    <row r="10" spans="1:3" x14ac:dyDescent="0.25">
      <c r="A10" t="s">
        <v>7</v>
      </c>
      <c r="B10" s="5">
        <v>0.08129666898571786</v>
      </c>
      <c r="C10" s="6" t="s">
        <v>8</v>
      </c>
    </row>
    <row r="11" spans="1:2" x14ac:dyDescent="0.25">
      <c r="A11" t="s">
        <v>9</v>
      </c>
      <c r="B11" s="5">
        <v>0.0773079654303723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13.561247531988128</v>
      </c>
    </row>
    <row r="14" spans="1:3" x14ac:dyDescent="0.25">
      <c r="A14" t="s">
        <v>12</v>
      </c>
      <c r="B14" s="5">
        <v>0.06907016029349596</v>
      </c>
      <c r="C14" s="6" t="s">
        <v>13</v>
      </c>
    </row>
    <row r="15" spans="1:3" x14ac:dyDescent="0.25">
      <c r="A15" t="s">
        <v>14</v>
      </c>
      <c r="B15" s="5">
        <v>0.05616817897912169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0.8693500000000001</v>
      </c>
      <c r="C19" s="6" t="s">
        <v>21</v>
      </c>
    </row>
    <row r="20" spans="1:2" x14ac:dyDescent="0.25">
      <c r="A20" t="s">
        <v>22</v>
      </c>
      <c r="B20" s="9">
        <f>B17+B19*B18</f>
        <v>0.085713505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25625643008</v>
      </c>
    </row>
    <row r="23" spans="1:2" x14ac:dyDescent="0.25">
      <c r="A23" t="s">
        <v>26</v>
      </c>
      <c r="B23" s="10">
        <v>21865376000</v>
      </c>
    </row>
    <row r="24" spans="1:2" x14ac:dyDescent="0.25">
      <c r="A24" t="s">
        <v>27</v>
      </c>
      <c r="B24" s="9">
        <f>B22/(B22+B23)</f>
        <v>0.5395892432563573</v>
      </c>
    </row>
    <row r="25" spans="1:2" x14ac:dyDescent="0.25">
      <c r="A25" t="s">
        <v>28</v>
      </c>
      <c r="B25" s="9">
        <f>1-B24</f>
        <v>0.46041075674364274</v>
      </c>
    </row>
    <row r="26" spans="1:2" x14ac:dyDescent="0.25">
      <c r="A26" t="s">
        <v>29</v>
      </c>
      <c r="B26" s="11">
        <f>B24*B20+B25*B21*(1-B8)</f>
        <v>0.06907016029349596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7705878000</v>
      </c>
      <c r="C29" s="6" t="s">
        <v>32</v>
      </c>
    </row>
    <row r="30" spans="1:2" x14ac:dyDescent="0.25">
      <c r="A30" t="s">
        <v>33</v>
      </c>
      <c r="B30" s="10">
        <v>13528974000</v>
      </c>
    </row>
    <row r="31" spans="1:2" x14ac:dyDescent="0.25">
      <c r="A31" t="s">
        <v>34</v>
      </c>
      <c r="B31" s="12">
        <v>241814680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0.05211935630909048</v>
      </c>
      <c r="D5" s="5">
        <v>0.048729436770454174</v>
      </c>
      <c r="E5" s="5">
        <v>0.04533951723181786</v>
      </c>
      <c r="F5" s="5">
        <v>0.04194959769318155</v>
      </c>
      <c r="G5" s="5">
        <v>0.03855967815454524</v>
      </c>
      <c r="H5" s="5">
        <v>0.03516975861590893</v>
      </c>
      <c r="I5" s="5">
        <v>0.03177983907727262</v>
      </c>
      <c r="J5" s="5">
        <v>0.028389919538636312</v>
      </c>
      <c r="K5" s="5">
        <v>0.025</v>
      </c>
    </row>
    <row r="6" spans="1:11" x14ac:dyDescent="0.25">
      <c r="A6" t="s">
        <v>50</v>
      </c>
      <c r="B6" s="18">
        <f>Assumptions!B29*(1+B5)</f>
        <v>11558817000</v>
      </c>
      <c r="C6" s="18">
        <f>B6*(1+C5)</f>
        <v>12161255101.734571</v>
      </c>
      <c r="D6" s="18">
        <f>C6*(1+D5)</f>
        <v>12753866213.26391</v>
      </c>
      <c r="E6" s="18">
        <f>D6*(1+E5)</f>
        <v>13332120350.212488</v>
      </c>
      <c r="F6" s="18">
        <f>E6*(1+F5)</f>
        <v>13891397435.300982</v>
      </c>
      <c r="G6" s="18">
        <f>F6*(1+G5)</f>
        <v>14427045249.523062</v>
      </c>
      <c r="H6" s="18">
        <f>G6*(1+H5)</f>
        <v>14934440948.489584</v>
      </c>
      <c r="I6" s="18">
        <f>H6*(1+I5)</f>
        <v>15409055078.541613</v>
      </c>
      <c r="J6" s="18">
        <f>I6*(1+J5)</f>
        <v>15846516912.387825</v>
      </c>
      <c r="K6" s="18">
        <f>J6*(1+K5)</f>
        <v>16242679835.19752</v>
      </c>
    </row>
    <row r="7" spans="1:11" x14ac:dyDescent="0.25">
      <c r="A7" t="s">
        <v>4</v>
      </c>
      <c r="B7" s="9">
        <f>Assumptions!B7</f>
        <v>0.19851433097103868</v>
      </c>
      <c r="C7" s="9">
        <f>Assumptions!B7</f>
        <v>0.19851433097103868</v>
      </c>
      <c r="D7" s="9">
        <f>Assumptions!B7</f>
        <v>0.19851433097103868</v>
      </c>
      <c r="E7" s="9">
        <f>Assumptions!B7</f>
        <v>0.19851433097103868</v>
      </c>
      <c r="F7" s="9">
        <f>Assumptions!B7</f>
        <v>0.19851433097103868</v>
      </c>
      <c r="G7" s="9">
        <f>Assumptions!B7</f>
        <v>0.19851433097103868</v>
      </c>
      <c r="H7" s="9">
        <f>Assumptions!B7</f>
        <v>0.19851433097103868</v>
      </c>
      <c r="I7" s="9">
        <f>Assumptions!B7</f>
        <v>0.19851433097103868</v>
      </c>
      <c r="J7" s="9">
        <f>Assumptions!B7</f>
        <v>0.19851433097103868</v>
      </c>
      <c r="K7" s="9">
        <f>Assumptions!B7</f>
        <v>0.19851433097103868</v>
      </c>
    </row>
    <row r="8" spans="1:11" x14ac:dyDescent="0.25">
      <c r="A8" t="s">
        <v>51</v>
      </c>
      <c r="B8" s="18">
        <f>B6*B7</f>
        <v>2294590823.5716686</v>
      </c>
      <c r="C8" s="18">
        <f>C6*C7</f>
        <v>2414183420.2889695</v>
      </c>
      <c r="D8" s="18">
        <f>D6*D7</f>
        <v>2531825218.6202197</v>
      </c>
      <c r="E8" s="18">
        <f>E6*E7</f>
        <v>2646616951.7478023</v>
      </c>
      <c r="F8" s="18">
        <f>F6*F7</f>
        <v>2757641468.121577</v>
      </c>
      <c r="G8" s="18">
        <f>G6*G7</f>
        <v>2863975235.5979724</v>
      </c>
      <c r="H8" s="18">
        <f>H6*H7</f>
        <v>2964700553.315894</v>
      </c>
      <c r="I8" s="18">
        <f>I6*I7</f>
        <v>3058918259.8125744</v>
      </c>
      <c r="J8" s="18">
        <f>J6*J7</f>
        <v>3145760703.0839186</v>
      </c>
      <c r="K8" s="18">
        <f>K6*K7</f>
        <v>3224404720.6610165</v>
      </c>
    </row>
    <row r="9" spans="1:11" x14ac:dyDescent="0.25">
      <c r="A9" t="s">
        <v>52</v>
      </c>
      <c r="B9" s="18">
        <f>B8*(1-Assumptions!B8)</f>
        <v>1812726750.6216183</v>
      </c>
      <c r="C9" s="18">
        <f>C8*(1-Assumptions!B8)</f>
        <v>1907204902.028286</v>
      </c>
      <c r="D9" s="18">
        <f>D8*(1-Assumptions!B8)</f>
        <v>2000141922.7099736</v>
      </c>
      <c r="E9" s="18">
        <f>E8*(1-Assumptions!B8)</f>
        <v>2090827391.8807638</v>
      </c>
      <c r="F9" s="18">
        <f>F8*(1-Assumptions!B8)</f>
        <v>2178536759.8160458</v>
      </c>
      <c r="G9" s="18">
        <f>G8*(1-Assumptions!B8)</f>
        <v>2262540436.1223984</v>
      </c>
      <c r="H9" s="18">
        <f>H8*(1-Assumptions!B8)</f>
        <v>2342113437.1195564</v>
      </c>
      <c r="I9" s="18">
        <f>I8*(1-Assumptions!B8)</f>
        <v>2416545425.251934</v>
      </c>
      <c r="J9" s="18">
        <f>J8*(1-Assumptions!B8)</f>
        <v>2485150955.436296</v>
      </c>
      <c r="K9" s="18">
        <f>K8*(1-Assumptions!B8)</f>
        <v>2547279729.322203</v>
      </c>
    </row>
    <row r="10" spans="1:11" x14ac:dyDescent="0.25">
      <c r="A10" t="s">
        <v>53</v>
      </c>
      <c r="B10" s="18">
        <f>B6*Assumptions!B9</f>
        <v>2457358007.7978616</v>
      </c>
      <c r="C10" s="18">
        <f>C6*Assumptions!B9</f>
        <v>2585433925.385275</v>
      </c>
      <c r="D10" s="18">
        <f>D6*Assumptions!B9</f>
        <v>2711420664.376524</v>
      </c>
      <c r="E10" s="18">
        <f>E6*Assumptions!B9</f>
        <v>2834355168.3117304</v>
      </c>
      <c r="F10" s="18">
        <f>F6*Assumptions!B9</f>
        <v>2953255227.341997</v>
      </c>
      <c r="G10" s="18">
        <f>G6*Assumptions!B9</f>
        <v>3067131798.416533</v>
      </c>
      <c r="H10" s="18">
        <f>H6*Assumptions!B9</f>
        <v>3175002083.4100213</v>
      </c>
      <c r="I10" s="18">
        <f>I6*Assumptions!B9</f>
        <v>3275903138.690797</v>
      </c>
      <c r="J10" s="18">
        <f>J6*Assumptions!B9</f>
        <v>3368905765.214595</v>
      </c>
      <c r="K10" s="18">
        <f>K6*Assumptions!B9</f>
        <v>3453128409.3449593</v>
      </c>
    </row>
    <row r="11" spans="1:11" x14ac:dyDescent="0.25">
      <c r="A11" t="s">
        <v>54</v>
      </c>
      <c r="B11" s="18">
        <f>-B6*B19</f>
        <v>-939693319.5154883</v>
      </c>
      <c r="C11" s="18">
        <f>-C6*C19</f>
        <v>-1091856517.1592479</v>
      </c>
      <c r="D11" s="18">
        <f>-D6*D19</f>
        <v>-1253277300.7212882</v>
      </c>
      <c r="E11" s="18">
        <f>-E6*E19</f>
        <v>-1423221945.245892</v>
      </c>
      <c r="F11" s="18">
        <f>-F6*F19</f>
        <v>-1600792598.0205147</v>
      </c>
      <c r="G11" s="18">
        <f>-G6*G19</f>
        <v>-1784930626.2173429</v>
      </c>
      <c r="H11" s="18">
        <f>-H6*H19</f>
        <v>-1974423386.129838</v>
      </c>
      <c r="I11" s="18">
        <f>-I6*I19</f>
        <v>-2167914475.8628745</v>
      </c>
      <c r="J11" s="18">
        <f>-J6*J19</f>
        <v>-2363917443.884451</v>
      </c>
      <c r="K11" s="18">
        <f>-K6*K19</f>
        <v>-2560832831.7288766</v>
      </c>
    </row>
    <row r="12" spans="1:11" x14ac:dyDescent="0.25">
      <c r="A12" t="s">
        <v>55</v>
      </c>
      <c r="B12" s="18">
        <f>-(B6-Assumptions!B29)*Assumptions!B11</f>
        <v>-297862875.0173332</v>
      </c>
      <c r="C12" s="18">
        <f>-(C6-B6)*Assumptions!B11</f>
        <v>-46573263.94283536</v>
      </c>
      <c r="D12" s="18">
        <f>-(D6-C6)*Assumptions!B11</f>
        <v>-45813559.32376463</v>
      </c>
      <c r="E12" s="18">
        <f>-(E6-D6)*Assumptions!B11</f>
        <v>-44703650.829190426</v>
      </c>
      <c r="F12" s="18">
        <f>-(F6-E6)*Assumptions!B11</f>
        <v>-43236573.56002063</v>
      </c>
      <c r="G12" s="18">
        <f>-(G6-F6)*Assumptions!B11</f>
        <v>-41409842.70473506</v>
      </c>
      <c r="H12" s="18">
        <f>-(H6-G6)*Assumptions!B11</f>
        <v>-39225729.15522349</v>
      </c>
      <c r="I12" s="18">
        <f>-(I6-H6)*Assumptions!B11</f>
        <v>-36691452.75882845</v>
      </c>
      <c r="J12" s="18">
        <f>-(J6-I6)*Assumptions!B11</f>
        <v>-33819284.32809026</v>
      </c>
      <c r="K12" s="18">
        <f>-(K6-J6)*Assumptions!B11</f>
        <v>-30626549.541367095</v>
      </c>
    </row>
    <row r="13" spans="1:11" x14ac:dyDescent="0.25">
      <c r="A13" s="19" t="s">
        <v>56</v>
      </c>
      <c r="B13" s="20">
        <f>B9+B10+B11+B12</f>
        <v>3032528563.8866587</v>
      </c>
      <c r="C13" s="20">
        <f>C9+C10+C11+C12</f>
        <v>3354209046.3114777</v>
      </c>
      <c r="D13" s="20">
        <f>D9+D10+D11+D12</f>
        <v>3412471727.0414443</v>
      </c>
      <c r="E13" s="20">
        <f>E9+E10+E11+E12</f>
        <v>3457256964.117412</v>
      </c>
      <c r="F13" s="20">
        <f>F9+F10+F11+F12</f>
        <v>3487762815.577508</v>
      </c>
      <c r="G13" s="20">
        <f>G9+G10+G11+G12</f>
        <v>3503331765.6168528</v>
      </c>
      <c r="H13" s="20">
        <f>H9+H10+H11+H12</f>
        <v>3503466405.244516</v>
      </c>
      <c r="I13" s="20">
        <f>I9+I10+I11+I12</f>
        <v>3487842635.3210278</v>
      </c>
      <c r="J13" s="20">
        <f>J9+J10+J11+J12</f>
        <v>3456319992.4383492</v>
      </c>
      <c r="K13" s="20">
        <f>K9+K10+K11+K12</f>
        <v>3408948757.3969183</v>
      </c>
    </row>
    <row r="14" spans="1:11" x14ac:dyDescent="0.25">
      <c r="A14" t="s">
        <v>57</v>
      </c>
      <c r="B14" s="21">
        <f>1/(1+Assumptions!$B$26)^(1-0.5*Assumptions!$B$32)</f>
        <v>0.9671568144047884</v>
      </c>
      <c r="C14" s="21">
        <f>1/(1+Assumptions!$B$26)^(2-0.5*Assumptions!$B$32)</f>
        <v>0.9046710406165216</v>
      </c>
      <c r="D14" s="21">
        <f>1/(1+Assumptions!$B$26)^(3-0.5*Assumptions!$B$32)</f>
        <v>0.8462223287273855</v>
      </c>
      <c r="E14" s="21">
        <f>1/(1+Assumptions!$B$26)^(4-0.5*Assumptions!$B$32)</f>
        <v>0.7915498534680537</v>
      </c>
      <c r="F14" s="21">
        <f>1/(1+Assumptions!$B$26)^(5-0.5*Assumptions!$B$32)</f>
        <v>0.7404096408890006</v>
      </c>
      <c r="G14" s="21">
        <f>1/(1+Assumptions!$B$26)^(6-0.5*Assumptions!$B$32)</f>
        <v>0.692573479635549</v>
      </c>
      <c r="H14" s="21">
        <f>1/(1+Assumptions!$B$26)^(7-0.5*Assumptions!$B$32)</f>
        <v>0.6478279025629282</v>
      </c>
      <c r="I14" s="21">
        <f>1/(1+Assumptions!$B$26)^(8-0.5*Assumptions!$B$32)</f>
        <v>0.6059732341468379</v>
      </c>
      <c r="J14" s="21">
        <f>1/(1+Assumptions!$B$26)^(9-0.5*Assumptions!$B$32)</f>
        <v>0.5668226994386204</v>
      </c>
      <c r="K14" s="21">
        <f>1/(1+Assumptions!$B$26)^(10-0.5*Assumptions!$B$32)</f>
        <v>0.5302015905887864</v>
      </c>
    </row>
    <row r="15" spans="1:11" x14ac:dyDescent="0.25">
      <c r="A15" s="19" t="s">
        <v>58</v>
      </c>
      <c r="B15" s="20">
        <f>B13*B14</f>
        <v>2932930665.440149</v>
      </c>
      <c r="C15" s="20">
        <f>C13*C14</f>
        <v>3034455788.371955</v>
      </c>
      <c r="D15" s="20">
        <f>D13*D14</f>
        <v>2887709771.573374</v>
      </c>
      <c r="E15" s="20">
        <f>E13*E14</f>
        <v>2736591243.348546</v>
      </c>
      <c r="F15" s="20">
        <f>F13*F14</f>
        <v>2582373213.7877526</v>
      </c>
      <c r="G15" s="20">
        <f>G13*G14</f>
        <v>2426314671.2310157</v>
      </c>
      <c r="H15" s="20">
        <f>H13*H14</f>
        <v>2269643293.009237</v>
      </c>
      <c r="I15" s="20">
        <f>I13*I14</f>
        <v>2113539281.9207134</v>
      </c>
      <c r="J15" s="20">
        <f>J13*J14</f>
        <v>1959120628.2375772</v>
      </c>
      <c r="K15" s="20">
        <f>K13*K14</f>
        <v>1807430053.407513</v>
      </c>
    </row>
    <row r="17" spans="1:2" x14ac:dyDescent="0.25">
      <c r="A17" s="22" t="s">
        <v>59</v>
      </c>
      <c r="B17" s="23">
        <f>SUM(B15:K15)</f>
        <v>24750108610.327827</v>
      </c>
    </row>
    <row r="19" spans="1:11" x14ac:dyDescent="0.25">
      <c r="A19" t="s">
        <v>7</v>
      </c>
      <c r="B19" s="9">
        <f>Assumptions!$B$10+($B$20-Assumptions!$B$10)*0/9</f>
        <v>0.08129666898571786</v>
      </c>
      <c r="C19" s="9">
        <f>Assumptions!$B$10+($B$20-Assumptions!$B$10)*1/9</f>
        <v>0.08978156514482746</v>
      </c>
      <c r="D19" s="9">
        <f>Assumptions!$B$10+($B$20-Assumptions!$B$10)*2/9</f>
        <v>0.09826646130393706</v>
      </c>
      <c r="E19" s="9">
        <f>Assumptions!$B$10+($B$20-Assumptions!$B$10)*3/9</f>
        <v>0.10675135746304665</v>
      </c>
      <c r="F19" s="9">
        <f>Assumptions!$B$10+($B$20-Assumptions!$B$10)*4/9</f>
        <v>0.11523625362215625</v>
      </c>
      <c r="G19" s="9">
        <f>Assumptions!$B$10+($B$20-Assumptions!$B$10)*5/9</f>
        <v>0.12372114978126586</v>
      </c>
      <c r="H19" s="9">
        <f>Assumptions!$B$10+($B$20-Assumptions!$B$10)*6/9</f>
        <v>0.13220604594037544</v>
      </c>
      <c r="I19" s="9">
        <f>Assumptions!$B$10+($B$20-Assumptions!$B$10)*7/9</f>
        <v>0.14069094209948507</v>
      </c>
      <c r="J19" s="9">
        <f>Assumptions!$B$10+($B$20-Assumptions!$B$10)*8/9</f>
        <v>0.14917583825859465</v>
      </c>
      <c r="K19" s="9">
        <f>Assumptions!$B$10+($B$20-Assumptions!$B$10)*9/9</f>
        <v>0.15766073441770426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0.15766073441770426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3408948757.3969183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4554516991.718404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0.36195080326683626</v>
      </c>
    </row>
    <row r="7" spans="1:2" x14ac:dyDescent="0.25">
      <c r="A7" t="s">
        <v>66</v>
      </c>
      <c r="B7" s="18">
        <f>-MAX(B5,0)*B6</f>
        <v>-1648511083.6449308</v>
      </c>
    </row>
    <row r="8" spans="1:2" x14ac:dyDescent="0.25">
      <c r="A8" t="s">
        <v>67</v>
      </c>
      <c r="B8" s="18">
        <f>IF(OR(Assumptions!$B$33=0,Assumptions!B12&lt;=0),B5,MAX(B5+B7,0))</f>
        <v>2906005908.073473</v>
      </c>
    </row>
    <row r="9" spans="1:2" x14ac:dyDescent="0.25">
      <c r="A9" t="s">
        <v>68</v>
      </c>
      <c r="B9" s="18">
        <f>B8*(1+Assumptions!B12)/(Assumptions!B26-Assumptions!B12)</f>
        <v>67588954429.44216</v>
      </c>
    </row>
    <row r="10" spans="1:2" x14ac:dyDescent="0.25">
      <c r="A10" t="s">
        <v>69</v>
      </c>
      <c r="B10" s="18">
        <f>B9/(1+Assumptions!B26)^(10-0.5*Assumptions!B32)</f>
        <v>35835771144.72323</v>
      </c>
    </row>
    <row r="11" spans="1:2" x14ac:dyDescent="0.25">
      <c r="A11" t="s">
        <v>70</v>
      </c>
      <c r="B11" s="18">
        <f>Forecast!B17+B10</f>
        <v>60585879755.051056</v>
      </c>
    </row>
    <row r="12" spans="1:2" x14ac:dyDescent="0.25">
      <c r="A12" t="s">
        <v>71</v>
      </c>
      <c r="B12" s="18">
        <f>-Assumptions!B30</f>
        <v>-13528974000</v>
      </c>
    </row>
    <row r="13" spans="1:2" x14ac:dyDescent="0.25">
      <c r="A13" t="s">
        <v>72</v>
      </c>
      <c r="B13" s="18">
        <f>B11+B12</f>
        <v>47056905755.051056</v>
      </c>
    </row>
    <row r="14" spans="1:2" x14ac:dyDescent="0.25">
      <c r="A14" s="19" t="s">
        <v>73</v>
      </c>
      <c r="B14" s="24">
        <f>B13/Assumptions!B31</f>
        <v>194.59904483487543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6677533130.005976</v>
      </c>
    </row>
    <row r="18" spans="1:2" x14ac:dyDescent="0.25">
      <c r="A18" t="s">
        <v>68</v>
      </c>
      <c r="B18" s="18">
        <f>B17*Assumptions!B13</f>
        <v>90555679679.0625</v>
      </c>
    </row>
    <row r="19" spans="1:2" x14ac:dyDescent="0.25">
      <c r="A19" t="s">
        <v>69</v>
      </c>
      <c r="B19" s="18">
        <f>B18/(1+Assumptions!B26)^(10-0.5*Assumptions!B32)</f>
        <v>48012765402.68758</v>
      </c>
    </row>
    <row r="20" spans="1:2" x14ac:dyDescent="0.25">
      <c r="A20" t="s">
        <v>70</v>
      </c>
      <c r="B20" s="18">
        <f>Forecast!B17+B19</f>
        <v>72762874013.01541</v>
      </c>
    </row>
    <row r="21" spans="1:2" x14ac:dyDescent="0.25">
      <c r="A21" t="s">
        <v>71</v>
      </c>
      <c r="B21" s="18">
        <f>-Assumptions!B30</f>
        <v>-13528974000</v>
      </c>
    </row>
    <row r="22" spans="1:2" x14ac:dyDescent="0.25">
      <c r="A22" t="s">
        <v>72</v>
      </c>
      <c r="B22" s="18">
        <f>B20+B21</f>
        <v>59233900013.01541</v>
      </c>
    </row>
    <row r="23" spans="1:2" x14ac:dyDescent="0.25">
      <c r="A23" s="19" t="s">
        <v>73</v>
      </c>
      <c r="B23" s="25">
        <f>B22/Assumptions!B31</f>
        <v>244.95576535310184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96.84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194.59904483487543</v>
      </c>
    </row>
    <row r="29" spans="1:2" x14ac:dyDescent="0.25">
      <c r="A29" s="19" t="s">
        <v>81</v>
      </c>
      <c r="B29" s="11">
        <f>B28/B26-1</f>
        <v>1.0094903431936744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0.04907</v>
      </c>
      <c r="B5" s="31">
        <v>306.38808752308677</v>
      </c>
      <c r="C5" s="31">
        <v>301.2247248624429</v>
      </c>
      <c r="D5" s="31">
        <v>296.06136220179883</v>
      </c>
      <c r="E5" s="31">
        <v>290.8979995411548</v>
      </c>
      <c r="F5" s="31">
        <v>285.7346368805109</v>
      </c>
    </row>
    <row r="6" spans="1:6" x14ac:dyDescent="0.25">
      <c r="A6" s="30">
        <v>0.05907</v>
      </c>
      <c r="B6" s="31">
        <v>244.859388697121</v>
      </c>
      <c r="C6" s="31">
        <v>240.81135852845387</v>
      </c>
      <c r="D6" s="31">
        <v>236.76332835978664</v>
      </c>
      <c r="E6" s="31">
        <v>232.71529819111962</v>
      </c>
      <c r="F6" s="31">
        <v>228.66726802245242</v>
      </c>
    </row>
    <row r="7" spans="1:6" x14ac:dyDescent="0.25">
      <c r="A7" s="30">
        <v>0.06907</v>
      </c>
      <c r="B7" s="31">
        <v>201.13998739191803</v>
      </c>
      <c r="C7" s="31">
        <v>197.86980524005008</v>
      </c>
      <c r="D7" s="32">
        <v>194.59962308818214</v>
      </c>
      <c r="E7" s="31">
        <v>191.3294409363142</v>
      </c>
      <c r="F7" s="31">
        <v>188.0592587844462</v>
      </c>
    </row>
    <row r="8" spans="1:6" x14ac:dyDescent="0.25">
      <c r="A8" s="30">
        <v>0.07907</v>
      </c>
      <c r="B8" s="31">
        <v>168.4771291074935</v>
      </c>
      <c r="C8" s="31">
        <v>165.77639511597388</v>
      </c>
      <c r="D8" s="31">
        <v>163.07566112445426</v>
      </c>
      <c r="E8" s="31">
        <v>160.37492713293463</v>
      </c>
      <c r="F8" s="31">
        <v>157.674193141415</v>
      </c>
    </row>
    <row r="9" spans="1:6" x14ac:dyDescent="0.25">
      <c r="A9" s="30">
        <v>0.08907</v>
      </c>
      <c r="B9" s="31">
        <v>143.1499874316872</v>
      </c>
      <c r="C9" s="31">
        <v>140.88133142168516</v>
      </c>
      <c r="D9" s="31">
        <v>138.61267541168314</v>
      </c>
      <c r="E9" s="31">
        <v>136.34401940168112</v>
      </c>
      <c r="F9" s="31">
        <v>134.0753633916791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7705878000</v>
      </c>
      <c r="C5" s="18">
        <v>7735970000</v>
      </c>
      <c r="D5" s="18">
        <v>7379784000</v>
      </c>
      <c r="E5" s="18">
        <v>8975515000</v>
      </c>
      <c r="F5" s="6" t="s">
        <v>91</v>
      </c>
    </row>
    <row r="6" spans="1:6" x14ac:dyDescent="0.25">
      <c r="A6" t="s">
        <v>51</v>
      </c>
      <c r="B6" s="18">
        <v>1471866000</v>
      </c>
      <c r="C6" s="18">
        <v>1701366000</v>
      </c>
      <c r="D6" s="18">
        <v>1452358000</v>
      </c>
      <c r="E6" s="18">
        <v>1672320000</v>
      </c>
      <c r="F6" s="6" t="s">
        <v>92</v>
      </c>
    </row>
    <row r="7" spans="1:6" x14ac:dyDescent="0.25">
      <c r="A7" t="s">
        <v>93</v>
      </c>
      <c r="B7" s="18">
        <v>1415377000</v>
      </c>
      <c r="C7" s="18">
        <v>1862331000</v>
      </c>
      <c r="D7" s="18">
        <v>1776692000</v>
      </c>
      <c r="E7" s="18">
        <v>1662455000</v>
      </c>
      <c r="F7" s="6" t="s">
        <v>94</v>
      </c>
    </row>
    <row r="8" spans="1:6" x14ac:dyDescent="0.25">
      <c r="A8" t="s">
        <v>95</v>
      </c>
      <c r="B8" s="18">
        <v>617769000</v>
      </c>
      <c r="C8" s="18">
        <v>674917000</v>
      </c>
      <c r="D8" s="18">
        <v>658142000</v>
      </c>
      <c r="E8" s="18">
        <v>615652000</v>
      </c>
      <c r="F8" s="6" t="s">
        <v>96</v>
      </c>
    </row>
    <row r="9" spans="1:6" x14ac:dyDescent="0.25">
      <c r="A9" t="s">
        <v>97</v>
      </c>
      <c r="B9" s="18">
        <v>346657000</v>
      </c>
      <c r="C9" s="18">
        <v>261386000</v>
      </c>
      <c r="D9" s="18">
        <v>362199000</v>
      </c>
      <c r="E9" s="18">
        <v>738444000</v>
      </c>
      <c r="F9" s="6" t="s">
        <v>98</v>
      </c>
    </row>
    <row r="10" spans="1:6" x14ac:dyDescent="0.25">
      <c r="A10" t="s">
        <v>99</v>
      </c>
      <c r="B10" s="18">
        <v>21865376000</v>
      </c>
      <c r="C10" s="18">
        <v>16661007000</v>
      </c>
      <c r="D10" s="18">
        <v>17375822000</v>
      </c>
      <c r="E10" s="18">
        <v>14285897000</v>
      </c>
      <c r="F10" s="6" t="s">
        <v>100</v>
      </c>
    </row>
    <row r="11" spans="1:6" x14ac:dyDescent="0.25">
      <c r="A11" t="s">
        <v>101</v>
      </c>
      <c r="B11" s="18">
        <v>8336402000</v>
      </c>
      <c r="C11" s="18">
        <v>2356470000</v>
      </c>
      <c r="D11" s="18">
        <v>2088887000</v>
      </c>
      <c r="E11" s="18">
        <v>1997566000</v>
      </c>
      <c r="F11" s="6" t="s">
        <v>102</v>
      </c>
    </row>
    <row r="12" spans="1:6" x14ac:dyDescent="0.25">
      <c r="A12" t="s">
        <v>34</v>
      </c>
      <c r="B12" s="34">
        <v>241814680</v>
      </c>
      <c r="C12" s="34">
        <v>254845000</v>
      </c>
      <c r="D12" s="34">
        <v>261698000</v>
      </c>
      <c r="E12" s="34">
        <v>275576000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