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<sst xmlns="http://schemas.openxmlformats.org/spreadsheetml/2006/main" count="115" uniqueCount="103">
  <si>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The GPT Group (GPT.AX)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</si>
  <si>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</si>
  <si>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</si>
  <si>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</si>
  <si>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</si>
  <si>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</si>
  <si>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</si>
  <si>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</si>
  <si>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</si>
  <si>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</si>
  <si>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</si>
  <si>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</si>
  <si>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</si>
  <si>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</si>
  <si>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</si>
  <si>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</si>
  <si>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</si>
  <si>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</si>
  <si>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</si>
  <si>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</si>
  <si>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</si>
  <si>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</si>
  <si>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</si>
  <si>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</si>
  <si>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</si>
  <si>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</si>
  <si>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</si>
  <si>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</si>
  <si>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</si>
  <si>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</si>
  <si>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2025-12-31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</si>
  <si>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</si>
  <si>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</si>
  <si>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</si>
  <si>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</si>
  <si>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</si>
  <si>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</si>
  <si>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</si>
  <si>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</si>
  <si>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</si>
  <si>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</si>
  <si>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</si>
  <si>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</si>
  <si>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</si>
  <si>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</si>
  <si>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</si>
  <si>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</si>
  <si>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</si>
  <si>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</si>
  <si>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</si>
  <si>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</si>
  <si>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</si>
  <si>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</si>
  <si>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</si>
  <si>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</si>
  <si>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</si>
  <si>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</si>
  <si>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</si>
  <si>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</si>
  <si>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</si>
  <si>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</si>
  <si>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</si>
  <si>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</si>
  <si>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</si>
  <si>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</si>
  <si>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</si>
  <si>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</si>
  <si>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</si>
  <si>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</si>
  <si>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</si>
  <si>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</si>
  <si>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</si>
  <si>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</si>
  <si>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</si>
  <si>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</si>
  <si>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</si>
  <si>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</si>
  <si>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</si>
  <si>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</si>
  <si>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</si>
  <si>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</si>
  <si>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</si>
  <si>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</si>
  <si>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</si>
  <si>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</si>
  <si>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</si>
  <si>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</si>
  <si>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</si>
  <si>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</si>
  <si>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</si>
  <si>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</si>
  <si>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</si>
  <si>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</si>
  <si>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</si>
  <si>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</si>
  <si>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</si>
  <si>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</si>
  <si>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</si>
  <si>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</si>
  <si>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Reported capital expenditure averages just 0.87%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</si>
  <si>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Capital expenditure runs at 1.0% of revenue against depreciation of 0.8%. A perpetuity has to be a steady state, so the terminal year uses maintenance capex at depreciation and then charges the reinvestment terminal growth requires (g/ROIC of NOPAT). The bridge is shown under Terminal Value.</t>
  </si>
  <si>
    <t>Current EV/EBITDA of 21.5x sits outside a defensible 3-20x band, so the exit multiple is capped at 20.0x.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</si>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</sst>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0.08755605730055005</v>
      </c>
    </row>
    <row r="7" spans="1:2" x14ac:dyDescent="0.25">
      <c r="A7" t="s">
        <v>5</v>
      </c>
      <c r="B7" s="6">
        <v>0.6018365778205187</v>
      </c>
    </row>
    <row r="8" spans="1:2" x14ac:dyDescent="0.25">
      <c r="A8" t="s">
        <v>6</v>
      </c>
      <c r="B8" s="6">
        <v>0.017562005993213215</v>
      </c>
    </row>
    <row r="9" spans="1:2" x14ac:dyDescent="0.25">
      <c r="A9" t="s">
        <v>7</v>
      </c>
      <c r="B9" s="6">
        <v>0.007973240854225353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0.27546296296296297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0.08805563241915895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0.9591299999999999</v>
      </c>
      <c r="C19" s="8" t="s">
        <v>19</v>
      </c>
    </row>
    <row r="20" spans="1:2" x14ac:dyDescent="0.25">
      <c r="A20" t="s">
        <v>20</v>
      </c>
      <c r="B20" s="10">
        <f>B17+B19*B18</f>
        <v>0.1110278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8543475712</v>
      </c>
    </row>
    <row r="23" spans="1:2" x14ac:dyDescent="0.25">
      <c r="A23" t="s">
        <v>24</v>
      </c>
      <c r="B23" s="11">
        <v>5526200000</v>
      </c>
    </row>
    <row r="24" spans="1:2" x14ac:dyDescent="0.25">
      <c r="A24" t="s">
        <v>25</v>
      </c>
      <c r="B24" s="10">
        <f>B22/(B22+B23)</f>
        <v>0.6072261995856298</v>
      </c>
    </row>
    <row r="25" spans="1:2" x14ac:dyDescent="0.25">
      <c r="A25" t="s">
        <v>26</v>
      </c>
      <c r="B25" s="10">
        <f>1-B24</f>
        <v>0.39277380041437016</v>
      </c>
    </row>
    <row r="26" spans="1:2" x14ac:dyDescent="0.25">
      <c r="A26" t="s">
        <v>27</v>
      </c>
      <c r="B26" s="12">
        <f>B24*B20+B25*B21*(1-B8)</f>
        <v>0.08805563241915895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1031900000</v>
      </c>
      <c r="C29" s="8" t="s">
        <v>30</v>
      </c>
    </row>
    <row r="30" spans="1:2" x14ac:dyDescent="0.25">
      <c r="A30" t="s">
        <v>31</v>
      </c>
      <c r="B30" s="11">
        <v>5426800000</v>
      </c>
    </row>
    <row r="31" spans="1:2" x14ac:dyDescent="0.25">
      <c r="A31" t="s">
        <v>32</v>
      </c>
      <c r="B31" s="13">
        <v>1915600000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0.08755605730055005</v>
      </c>
      <c r="C5" s="10">
        <f>Assumptions!B6</f>
        <v>0.08755605730055005</v>
      </c>
      <c r="D5" s="10">
        <f>Assumptions!B6</f>
        <v>0.08755605730055005</v>
      </c>
      <c r="E5" s="10">
        <f>Assumptions!B6</f>
        <v>0.08755605730055005</v>
      </c>
      <c r="F5" s="10">
        <f>Assumptions!B6</f>
        <v>0.08755605730055005</v>
      </c>
    </row>
    <row r="6" spans="1:6" x14ac:dyDescent="0.25">
      <c r="A6" t="s">
        <v>43</v>
      </c>
      <c r="B6" s="18">
        <f>Assumptions!B29*(1+B5)</f>
        <v>1122249095.5284376</v>
      </c>
      <c r="C6" s="18">
        <f>B6*(1+C5)</f>
        <v>1220508801.642016</v>
      </c>
      <c r="D6" s="18">
        <f>C6*(1+D5)</f>
        <v>1327371740.21441</v>
      </c>
      <c r="E6" s="18">
        <f>D6*(1+E5)</f>
        <v>1443591176.3597538</v>
      </c>
      <c r="F6" s="18">
        <f>E6*(1+F5)</f>
        <v>1569986328.1156769</v>
      </c>
    </row>
    <row r="7" spans="1:6" x14ac:dyDescent="0.25">
      <c r="A7" t="s">
        <v>5</v>
      </c>
      <c r="B7" s="10">
        <f>Assumptions!B7</f>
        <v>0.6018365778205187</v>
      </c>
      <c r="C7" s="10">
        <f>Assumptions!B7</f>
        <v>0.6018365778205187</v>
      </c>
      <c r="D7" s="10">
        <f>Assumptions!B7</f>
        <v>0.6018365778205187</v>
      </c>
      <c r="E7" s="10">
        <f>Assumptions!B7</f>
        <v>0.6018365778205187</v>
      </c>
      <c r="F7" s="10">
        <f>Assumptions!B7</f>
        <v>0.6018365778205187</v>
      </c>
    </row>
    <row r="8" spans="1:6" x14ac:dyDescent="0.25">
      <c r="A8" t="s">
        <v>44</v>
      </c>
      <c r="B8" s="18">
        <f>B6*B7</f>
        <v>675410555.1150073</v>
      </c>
      <c r="C8" s="18">
        <f>C6*C7</f>
        <v>734546840.3800532</v>
      </c>
      <c r="D8" s="18">
        <f>D6*D7</f>
        <v>798860865.6263071</v>
      </c>
      <c r="E8" s="18">
        <f>E6*E7</f>
        <v>868805973.3522512</v>
      </c>
      <c r="F8" s="18">
        <f>F6*F7</f>
        <v>944875198.938141</v>
      </c>
    </row>
    <row r="9" spans="1:6" x14ac:dyDescent="0.25">
      <c r="A9" t="s">
        <v>45</v>
      </c>
      <c r="B9" s="18">
        <f>B8*(1-Assumptions!B8)</f>
        <v>663548990.898198</v>
      </c>
      <c r="C9" s="18">
        <f>C8*(1-Assumptions!B8)</f>
        <v>721646724.3670028</v>
      </c>
      <c r="D9" s="18">
        <f>D8*(1-Assumptions!B8)</f>
        <v>784831266.3164344</v>
      </c>
      <c r="E9" s="18">
        <f>E8*(1-Assumptions!B8)</f>
        <v>853547997.6412995</v>
      </c>
      <c r="F9" s="18">
        <f>F8*(1-Assumptions!B8)</f>
        <v>928281295.0315508</v>
      </c>
    </row>
    <row r="10" spans="1:6" x14ac:dyDescent="0.25">
      <c r="A10" t="s">
        <v>46</v>
      </c>
      <c r="B10" s="18">
        <f>B6*Assumptions!B9</f>
        <v>8947962.33708479</v>
      </c>
      <c r="C10" s="18">
        <f>C6*Assumptions!B9</f>
        <v>9731410.64019375</v>
      </c>
      <c r="D10" s="18">
        <f>D6*Assumptions!B9</f>
        <v>10583454.587821737</v>
      </c>
      <c r="E10" s="18">
        <f>E6*Assumptions!B9</f>
        <v>11510100.144150827</v>
      </c>
      <c r="F10" s="18">
        <f>F6*Assumptions!B9</f>
        <v>12517879.131907165</v>
      </c>
    </row>
    <row r="11" spans="1:6" x14ac:dyDescent="0.25">
      <c r="A11" t="s">
        <v>47</v>
      </c>
      <c r="B11" s="18">
        <f>-B6*Assumptions!B10</f>
        <v>-11222490.955284376</v>
      </c>
      <c r="C11" s="18">
        <f>-C6*Assumptions!B10</f>
        <v>-12205088.01642016</v>
      </c>
      <c r="D11" s="18">
        <f>-D6*Assumptions!B10</f>
        <v>-13273717.4021441</v>
      </c>
      <c r="E11" s="18">
        <f>-E6*Assumptions!B10</f>
        <v>-14435911.763597539</v>
      </c>
      <c r="F11" s="18">
        <f>-F6*Assumptions!B10</f>
        <v>-15699863.281156769</v>
      </c>
    </row>
    <row r="12" spans="1:6" x14ac:dyDescent="0.25">
      <c r="A12" t="s">
        <v>48</v>
      </c>
      <c r="B12" s="18">
        <f>-(B6-Assumptions!B29)*Assumptions!B11</f>
        <v>-24887829.555287212</v>
      </c>
      <c r="C12" s="18">
        <f>-(C6-B6)*Assumptions!B11</f>
        <v>-27066909.78591625</v>
      </c>
      <c r="D12" s="18">
        <f>-(D6-C6)*Assumptions!B11</f>
        <v>-29436781.69008079</v>
      </c>
      <c r="E12" s="18">
        <f>-(E6-D6)*Assumptions!B11</f>
        <v>-32014150.23448127</v>
      </c>
      <c r="F12" s="18">
        <f>-(F6-E6)*Assumptions!B11</f>
        <v>-34817183.00683991</v>
      </c>
    </row>
    <row r="13" spans="1:6" x14ac:dyDescent="0.25">
      <c r="A13" s="19" t="s">
        <v>49</v>
      </c>
      <c r="B13" s="20">
        <f>B9+B10+B11+B12</f>
        <v>636386632.7247112</v>
      </c>
      <c r="C13" s="20">
        <f>C9+C10+C11+C12</f>
        <v>692106137.2048602</v>
      </c>
      <c r="D13" s="20">
        <f>D9+D10+D11+D12</f>
        <v>752704221.8120313</v>
      </c>
      <c r="E13" s="20">
        <f>E9+E10+E11+E12</f>
        <v>818608035.7873716</v>
      </c>
      <c r="F13" s="20">
        <f>F9+F10+F11+F12</f>
        <v>890282127.8754612</v>
      </c>
    </row>
    <row r="14" spans="1:6" x14ac:dyDescent="0.25">
      <c r="A14" t="s">
        <v>50</v>
      </c>
      <c r="B14" s="21">
        <f>1/(1+Assumptions!$B$26)^(1-0.5*Assumptions!$B$32)</f>
        <v>0.9586817263616566</v>
      </c>
      <c r="C14" s="21">
        <f>1/(1+Assumptions!$B$26)^(2-0.5*Assumptions!$B$32)</f>
        <v>0.8810962397484626</v>
      </c>
      <c r="D14" s="21">
        <f>1/(1+Assumptions!$B$26)^(3-0.5*Assumptions!$B$32)</f>
        <v>0.8097896959454661</v>
      </c>
      <c r="E14" s="21">
        <f>1/(1+Assumptions!$B$26)^(4-0.5*Assumptions!$B$32)</f>
        <v>0.7442539442077953</v>
      </c>
      <c r="F14" s="21">
        <f>1/(1+Assumptions!$B$26)^(5-0.5*Assumptions!$B$32)</f>
        <v>0.6840219580988128</v>
      </c>
    </row>
    <row r="15" spans="1:6" x14ac:dyDescent="0.25">
      <c r="A15" s="19" t="s">
        <v>51</v>
      </c>
      <c r="B15" s="20">
        <f>B13*B14</f>
        <v>610092235.6940076</v>
      </c>
      <c r="C15" s="20">
        <f>C13*C14</f>
        <v>609812114.9980359</v>
      </c>
      <c r="D15" s="20">
        <f>D13*D14</f>
        <v>609532122.9180335</v>
      </c>
      <c r="E15" s="20">
        <f>E13*E14</f>
        <v>609252259.3949474</v>
      </c>
      <c r="F15" s="20">
        <f>F13*F14</f>
        <v>608972524.3697506</v>
      </c>
    </row>
    <row r="17" spans="1:2" x14ac:dyDescent="0.25">
      <c r="A17" s="22" t="s">
        <v>52</v>
      </c>
      <c r="B17" s="23">
        <f>SUM(B15:F15)</f>
        <v>3047661257.374775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890282127.8754612</v>
      </c>
    </row>
    <row r="5" spans="1:2" x14ac:dyDescent="0.25">
      <c r="A5" t="s">
        <v>56</v>
      </c>
      <c r="B5" s="18">
        <f>IF(Assumptions!$B$33=0,B4,B4-Forecast!F11-Forecast!F10-Forecast!F12)</f>
        <v>928281295.0315508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0.2839114240983017</v>
      </c>
    </row>
    <row r="7" spans="1:2" x14ac:dyDescent="0.25">
      <c r="A7" t="s">
        <v>58</v>
      </c>
      <c r="B7" s="18">
        <f>-MAX(Forecast!F9,0)*B6</f>
        <v>-263549664.43622336</v>
      </c>
    </row>
    <row r="8" spans="1:2" x14ac:dyDescent="0.25">
      <c r="A8" t="s">
        <v>59</v>
      </c>
      <c r="B8" s="18">
        <f>IF(OR(Assumptions!$B$33=0,Assumptions!B12&lt;=0),B5,MAX(B5+B7,0))</f>
        <v>664731630.5953274</v>
      </c>
    </row>
    <row r="9" spans="1:2" x14ac:dyDescent="0.25">
      <c r="A9" t="s">
        <v>60</v>
      </c>
      <c r="B9" s="18">
        <f>B8*(1+Assumptions!B12)/(Assumptions!B26-Assumptions!B12)</f>
        <v>10805536241.885153</v>
      </c>
    </row>
    <row r="10" spans="1:2" x14ac:dyDescent="0.25">
      <c r="A10" t="s">
        <v>61</v>
      </c>
      <c r="B10" s="18">
        <f>B9/(1+Assumptions!B26)^(5-0.5*Assumptions!B32)</f>
        <v>7391224058.48197</v>
      </c>
    </row>
    <row r="11" spans="1:2" x14ac:dyDescent="0.25">
      <c r="A11" t="s">
        <v>62</v>
      </c>
      <c r="B11" s="18">
        <f>Forecast!B17+B10</f>
        <v>10438885315.856745</v>
      </c>
    </row>
    <row r="12" spans="1:2" x14ac:dyDescent="0.25">
      <c r="A12" t="s">
        <v>63</v>
      </c>
      <c r="B12" s="18">
        <f>-Assumptions!B30</f>
        <v>-5426800000</v>
      </c>
    </row>
    <row r="13" spans="1:2" x14ac:dyDescent="0.25">
      <c r="A13" t="s">
        <v>64</v>
      </c>
      <c r="B13" s="18">
        <f>B11+B12</f>
        <v>5012085315.856745</v>
      </c>
    </row>
    <row r="14" spans="1:2" x14ac:dyDescent="0.25">
      <c r="A14" s="19" t="s">
        <v>65</v>
      </c>
      <c r="B14" s="24">
        <f>B13/Assumptions!B31</f>
        <v>2.6164571496433204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957393078.0700481</v>
      </c>
    </row>
    <row r="18" spans="1:2" x14ac:dyDescent="0.25">
      <c r="A18" t="s">
        <v>60</v>
      </c>
      <c r="B18" s="18">
        <f>B17*Assumptions!B13</f>
        <v>19147861561.400963</v>
      </c>
    </row>
    <row r="19" spans="1:2" x14ac:dyDescent="0.25">
      <c r="A19" t="s">
        <v>61</v>
      </c>
      <c r="B19" s="18">
        <f>B18/(1+Assumptions!B26)^(5-0.5*Assumptions!B32)</f>
        <v>13097557758.634478</v>
      </c>
    </row>
    <row r="20" spans="1:2" x14ac:dyDescent="0.25">
      <c r="A20" t="s">
        <v>62</v>
      </c>
      <c r="B20" s="18">
        <f>Forecast!B17+B19</f>
        <v>16145219016.009253</v>
      </c>
    </row>
    <row r="21" spans="1:2" x14ac:dyDescent="0.25">
      <c r="A21" t="s">
        <v>63</v>
      </c>
      <c r="B21" s="18">
        <f>-Assumptions!B30</f>
        <v>-5426800000</v>
      </c>
    </row>
    <row r="22" spans="1:2" x14ac:dyDescent="0.25">
      <c r="A22" t="s">
        <v>64</v>
      </c>
      <c r="B22" s="18">
        <f>B20+B21</f>
        <v>10718419016.009253</v>
      </c>
    </row>
    <row r="23" spans="1:2" x14ac:dyDescent="0.25">
      <c r="A23" s="19" t="s">
        <v>65</v>
      </c>
      <c r="B23" s="25">
        <f>B22/Assumptions!B31</f>
        <v>5.595332541245172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4.46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2.6164571496433204</v>
      </c>
    </row>
    <row r="29" spans="1:2" x14ac:dyDescent="0.25">
      <c r="A29" s="19" t="s">
        <v>73</v>
      </c>
      <c r="B29" s="12">
        <f>B28/B26-1</f>
        <v>-0.41335041487817925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0.068056</v>
      </c>
      <c r="B5" s="31">
        <v>4.208136638192973</v>
      </c>
      <c r="C5" s="31">
        <v>4.234609765444088</v>
      </c>
      <c r="D5" s="31">
        <v>4.261082892695202</v>
      </c>
      <c r="E5" s="31">
        <v>4.287556019946313</v>
      </c>
      <c r="F5" s="31">
        <v>4.314029147197427</v>
      </c>
    </row>
    <row r="6" spans="1:6" x14ac:dyDescent="0.25">
      <c r="A6" s="30">
        <v>0.078056</v>
      </c>
      <c r="B6" s="31">
        <v>3.2884199052333143</v>
      </c>
      <c r="C6" s="31">
        <v>3.3105535297873634</v>
      </c>
      <c r="D6" s="31">
        <v>3.332687154341412</v>
      </c>
      <c r="E6" s="31">
        <v>3.354820778895462</v>
      </c>
      <c r="F6" s="31">
        <v>3.3769544034495107</v>
      </c>
    </row>
    <row r="7" spans="1:6" x14ac:dyDescent="0.25">
      <c r="A7" s="30">
        <v>0.088056</v>
      </c>
      <c r="B7" s="31">
        <v>2.5787907496791824</v>
      </c>
      <c r="C7" s="31">
        <v>2.597612291851882</v>
      </c>
      <c r="D7" s="32">
        <v>2.61643383402458</v>
      </c>
      <c r="E7" s="31">
        <v>2.635255376197281</v>
      </c>
      <c r="F7" s="31">
        <v>2.6540769183699804</v>
      </c>
    </row>
    <row r="8" spans="1:6" x14ac:dyDescent="0.25">
      <c r="A8" s="30">
        <v>0.098056</v>
      </c>
      <c r="B8" s="31">
        <v>2.0149179774176242</v>
      </c>
      <c r="C8" s="31">
        <v>2.0311383341072156</v>
      </c>
      <c r="D8" s="31">
        <v>2.0473586907968064</v>
      </c>
      <c r="E8" s="31">
        <v>2.063579047486398</v>
      </c>
      <c r="F8" s="31">
        <v>2.079799404175989</v>
      </c>
    </row>
    <row r="9" spans="1:6" x14ac:dyDescent="0.25">
      <c r="A9" s="30">
        <v>0.108056</v>
      </c>
      <c r="B9" s="31">
        <v>1.5562874276561323</v>
      </c>
      <c r="C9" s="31">
        <v>1.570418274675472</v>
      </c>
      <c r="D9" s="31">
        <v>1.5845491216948118</v>
      </c>
      <c r="E9" s="31">
        <v>1.5986799687141524</v>
      </c>
      <c r="F9" s="31">
        <v>1.6128108157334913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1031900000</v>
      </c>
      <c r="C5" s="18">
        <v>988700000</v>
      </c>
      <c r="D5" s="18">
        <v>900100000</v>
      </c>
      <c r="E5" s="18">
        <v>802200000</v>
      </c>
      <c r="F5" s="8" t="s">
        <v>84</v>
      </c>
    </row>
    <row r="6" spans="1:6" x14ac:dyDescent="0.25">
      <c r="A6" t="s">
        <v>44</v>
      </c>
      <c r="B6" s="18">
        <v>643800000</v>
      </c>
      <c r="C6" s="18">
        <v>564700000</v>
      </c>
      <c r="D6" s="18">
        <v>550700000</v>
      </c>
      <c r="E6" s="18">
        <v>481700000</v>
      </c>
      <c r="F6" s="8" t="s">
        <v>85</v>
      </c>
    </row>
    <row r="7" spans="1:6" x14ac:dyDescent="0.25">
      <c r="A7" t="s">
        <v>86</v>
      </c>
      <c r="B7" s="18">
        <v>6700000</v>
      </c>
      <c r="C7" s="18">
        <v>7200000</v>
      </c>
      <c r="D7" s="18">
        <v>9800000</v>
      </c>
      <c r="E7" s="18">
        <v>5800000</v>
      </c>
      <c r="F7" s="8" t="s">
        <v>87</v>
      </c>
    </row>
    <row r="8" spans="1:6" x14ac:dyDescent="0.25">
      <c r="A8" t="s">
        <v>88</v>
      </c>
      <c r="B8" s="18">
        <v>21000000</v>
      </c>
      <c r="C8" s="18">
        <v>1800000</v>
      </c>
      <c r="D8" s="18">
        <v>3400000</v>
      </c>
      <c r="E8" s="18">
        <v>7100000</v>
      </c>
      <c r="F8" s="8" t="s">
        <v>89</v>
      </c>
    </row>
    <row r="9" spans="1:6" x14ac:dyDescent="0.25">
      <c r="A9" t="s">
        <v>90</v>
      </c>
      <c r="B9" s="18">
        <v>11900000</v>
      </c>
      <c r="C9" s="18">
        <v>178200000</v>
      </c>
      <c r="D9" s="18">
        <v>-117800000</v>
      </c>
      <c r="E9" s="18">
        <v>-1100000</v>
      </c>
      <c r="F9" s="8" t="s">
        <v>91</v>
      </c>
    </row>
    <row r="10" spans="1:6" x14ac:dyDescent="0.25">
      <c r="A10" t="s">
        <v>92</v>
      </c>
      <c r="B10" s="18">
        <v>5526200000</v>
      </c>
      <c r="C10" s="18">
        <v>4866100000</v>
      </c>
      <c r="D10" s="18">
        <v>4832700000</v>
      </c>
      <c r="E10" s="18">
        <v>5097900000</v>
      </c>
      <c r="F10" s="8" t="s">
        <v>93</v>
      </c>
    </row>
    <row r="11" spans="1:6" x14ac:dyDescent="0.25">
      <c r="A11" t="s">
        <v>94</v>
      </c>
      <c r="B11" s="18">
        <v>99400000</v>
      </c>
      <c r="C11" s="18">
        <v>72200000</v>
      </c>
      <c r="D11" s="18">
        <v>67900000</v>
      </c>
      <c r="E11" s="18">
        <v>60200000</v>
      </c>
      <c r="F11" s="8" t="s">
        <v>95</v>
      </c>
    </row>
    <row r="12" spans="1:6" x14ac:dyDescent="0.25">
      <c r="A12" t="s">
        <v>32</v>
      </c>
      <c r="B12" s="34">
        <v>1915600000</v>
      </c>
      <c r="C12" s="34">
        <v>1915600000</v>
      </c>
      <c r="D12" s="34">
        <v>1915600000</v>
      </c>
      <c r="E12" s="34">
        <v>1915600000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86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19" ht="38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2026-09-19T00:06:52Z</dcterms:modified>
</cp:coreProperties>
</file>