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<sst xmlns="http://schemas.openxmlformats.org/spreadsheetml/2006/main" count="116" uniqueCount="103">
  <si>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GQG Partners Inc. (GQG.AX)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</si>
  <si>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</si>
  <si>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</si>
  <si>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</si>
  <si>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</si>
  <si>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</si>
  <si>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</si>
  <si>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</si>
  <si>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</si>
  <si>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</si>
  <si>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</si>
  <si>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</si>
  <si>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</si>
  <si>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</si>
  <si>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</si>
  <si>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</si>
  <si>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</si>
  <si>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</si>
  <si>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</si>
  <si>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</si>
  <si>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</si>
  <si>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</si>
  <si>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</si>
  <si>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</si>
  <si>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</si>
  <si>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</si>
  <si>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</si>
  <si>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</si>
  <si>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</si>
  <si>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</si>
  <si>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</si>
  <si>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</si>
  <si>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</si>
  <si>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</si>
  <si>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</si>
  <si>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</si>
  <si>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</si>
  <si>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</si>
  <si>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</si>
  <si>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</si>
  <si>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</si>
  <si>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</si>
  <si>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</si>
  <si>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</si>
  <si>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</si>
  <si>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</si>
  <si>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</si>
  <si>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</si>
  <si>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</si>
  <si>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</si>
  <si>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</si>
  <si>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</si>
  <si>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</si>
  <si>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</si>
  <si>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</si>
  <si>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</si>
  <si>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</si>
  <si>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</si>
  <si>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</si>
  <si>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</si>
  <si>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</si>
  <si>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</si>
  <si>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</si>
  <si>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</si>
  <si>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</si>
  <si>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</si>
  <si>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</si>
  <si>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</si>
  <si>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</si>
  <si>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</si>
  <si>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</si>
  <si>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</si>
  <si>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</si>
  <si>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</si>
  <si>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</si>
  <si>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</si>
  <si>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</si>
  <si>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</si>
  <si>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</si>
  <si>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</si>
  <si>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</si>
  <si>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</si>
  <si>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</si>
  <si>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</si>
  <si>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</si>
  <si>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</si>
  <si>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</si>
  <si>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</si>
  <si>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</si>
  <si>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</si>
  <si>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</si>
  <si>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</si>
  <si>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</si>
  <si>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</si>
  <si>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</si>
  <si>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</si>
  <si>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</si>
  <si>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</si>
  <si>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</si>
  <si>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Reports in USD, trades in AUD. Modelled in USD, converted at the end.</t>
  </si>
  <si>
    <t>Adjusted: Reported capital expenditure averages just 0.27%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</si>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</sst>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0.22622631019466266</v>
      </c>
    </row>
    <row r="7" spans="1:2" x14ac:dyDescent="0.25">
      <c r="A7" t="s">
        <v>5</v>
      </c>
      <c r="B7" s="6">
        <v>0.7886945822775284</v>
      </c>
    </row>
    <row r="8" spans="1:2" x14ac:dyDescent="0.25">
      <c r="A8" t="s">
        <v>6</v>
      </c>
      <c r="B8" s="6">
        <v>0.26828937897350347</v>
      </c>
    </row>
    <row r="9" spans="1:2" x14ac:dyDescent="0.25">
      <c r="A9" t="s">
        <v>7</v>
      </c>
      <c r="B9" s="6">
        <v>0.0009016058391779389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0.18746895260416002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4.90655982249693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0.76014</v>
      </c>
      <c r="C19" s="8" t="s">
        <v>19</v>
      </c>
    </row>
    <row r="20" spans="1:2" x14ac:dyDescent="0.25">
      <c r="A20" t="s">
        <v>20</v>
      </c>
      <c r="B20" s="10">
        <f>B17+B19*B18</f>
        <v>0.0990884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3204003584</v>
      </c>
    </row>
    <row r="23" spans="1:2" x14ac:dyDescent="0.25">
      <c r="A23" t="s">
        <v>24</v>
      </c>
      <c r="B23" s="11">
        <v>26787000</v>
      </c>
    </row>
    <row r="24" spans="1:2" x14ac:dyDescent="0.25">
      <c r="A24" t="s">
        <v>25</v>
      </c>
      <c r="B24" s="10">
        <f>B22/(B22+B23)</f>
        <v>0.9917088405133225</v>
      </c>
    </row>
    <row r="25" spans="1:2" x14ac:dyDescent="0.25">
      <c r="A25" t="s">
        <v>26</v>
      </c>
      <c r="B25" s="10">
        <f>1-B24</f>
        <v>0.008291159486677468</v>
      </c>
    </row>
    <row r="26" spans="1:2" x14ac:dyDescent="0.25">
      <c r="A26" t="s">
        <v>27</v>
      </c>
      <c r="B26" s="12">
        <f>B24*B20+B25*B21*(1-B8)</f>
        <v>0.0987126255528226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779286000</v>
      </c>
      <c r="C29" s="8" t="s">
        <v>30</v>
      </c>
    </row>
    <row r="30" spans="1:2" x14ac:dyDescent="0.25">
      <c r="A30" t="s">
        <v>31</v>
      </c>
      <c r="B30" s="11">
        <v>-108087000</v>
      </c>
    </row>
    <row r="31" spans="1:2" x14ac:dyDescent="0.25">
      <c r="A31" t="s">
        <v>32</v>
      </c>
      <c r="B31" s="13">
        <v>2925679794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0.22622631019466266</v>
      </c>
      <c r="C5" s="10">
        <f>Assumptions!B6</f>
        <v>0.22622631019466266</v>
      </c>
      <c r="D5" s="10">
        <f>Assumptions!B6</f>
        <v>0.22622631019466266</v>
      </c>
      <c r="E5" s="10">
        <f>Assumptions!B6</f>
        <v>0.22622631019466266</v>
      </c>
      <c r="F5" s="10">
        <f>Assumptions!B6</f>
        <v>0.22622631019466266</v>
      </c>
    </row>
    <row r="6" spans="1:6" x14ac:dyDescent="0.25">
      <c r="A6" t="s">
        <v>43</v>
      </c>
      <c r="B6" s="18">
        <f>Assumptions!B29*(1+B5)</f>
        <v>955580996.3663579</v>
      </c>
      <c r="C6" s="18">
        <f>B6*(1+C5)</f>
        <v>1171758559.2664585</v>
      </c>
      <c r="D6" s="18">
        <f>C6*(1+D5)</f>
        <v>1436841174.5683234</v>
      </c>
      <c r="E6" s="18">
        <f>D6*(1+E5)</f>
        <v>1761892451.8266804</v>
      </c>
      <c r="F6" s="18">
        <f>E6*(1+F5)</f>
        <v>2160478880.1632576</v>
      </c>
    </row>
    <row r="7" spans="1:6" x14ac:dyDescent="0.25">
      <c r="A7" t="s">
        <v>5</v>
      </c>
      <c r="B7" s="10">
        <f>Assumptions!B7</f>
        <v>0.7886945822775284</v>
      </c>
      <c r="C7" s="10">
        <f>Assumptions!B7</f>
        <v>0.7886945822775284</v>
      </c>
      <c r="D7" s="10">
        <f>Assumptions!B7</f>
        <v>0.7886945822775284</v>
      </c>
      <c r="E7" s="10">
        <f>Assumptions!B7</f>
        <v>0.7886945822775284</v>
      </c>
      <c r="F7" s="10">
        <f>Assumptions!B7</f>
        <v>0.7886945822775284</v>
      </c>
    </row>
    <row r="8" spans="1:6" x14ac:dyDescent="0.25">
      <c r="A8" t="s">
        <v>44</v>
      </c>
      <c r="B8" s="18">
        <f>B6*B7</f>
        <v>753661554.7615091</v>
      </c>
      <c r="C8" s="18">
        <f>C6*C7</f>
        <v>924159627.430778</v>
      </c>
      <c r="D8" s="18">
        <f>D6*D7</f>
        <v>1133228849.975317</v>
      </c>
      <c r="E8" s="18">
        <f>E6*E7</f>
        <v>1389595031.3113742</v>
      </c>
      <c r="F8" s="18">
        <f>F6*F7</f>
        <v>1703957987.909783</v>
      </c>
    </row>
    <row r="9" spans="1:6" x14ac:dyDescent="0.25">
      <c r="A9" t="s">
        <v>45</v>
      </c>
      <c r="B9" s="18">
        <f>B8*(1-Assumptions!B8)</f>
        <v>551462164.2783387</v>
      </c>
      <c r="C9" s="18">
        <f>C8*(1-Assumptions!B8)</f>
        <v>676217414.9149903</v>
      </c>
      <c r="D9" s="18">
        <f>D8*(1-Assumptions!B8)</f>
        <v>829195585.5805817</v>
      </c>
      <c r="E9" s="18">
        <f>E8*(1-Assumptions!B8)</f>
        <v>1016781443.3361795</v>
      </c>
      <c r="F9" s="18">
        <f>F8*(1-Assumptions!B8)</f>
        <v>1246804157.5365267</v>
      </c>
    </row>
    <row r="10" spans="1:6" x14ac:dyDescent="0.25">
      <c r="A10" t="s">
        <v>46</v>
      </c>
      <c r="B10" s="18">
        <f>B6*Assumptions!B9</f>
        <v>861557.4061313812</v>
      </c>
      <c r="C10" s="18">
        <f>C6*Assumptions!B9</f>
        <v>1056464.359141368</v>
      </c>
      <c r="D10" s="18">
        <f>D6*Assumptions!B9</f>
        <v>1295464.3929620886</v>
      </c>
      <c r="E10" s="18">
        <f>E6*Assumptions!B9</f>
        <v>1588532.5225704706</v>
      </c>
      <c r="F10" s="18">
        <f>F6*Assumptions!B9</f>
        <v>1947900.3737758077</v>
      </c>
    </row>
    <row r="11" spans="1:6" x14ac:dyDescent="0.25">
      <c r="A11" t="s">
        <v>47</v>
      </c>
      <c r="B11" s="18">
        <f>-B6*Assumptions!B10</f>
        <v>-9555809.96366358</v>
      </c>
      <c r="C11" s="18">
        <f>-C6*Assumptions!B10</f>
        <v>-11717585.592664585</v>
      </c>
      <c r="D11" s="18">
        <f>-D6*Assumptions!B10</f>
        <v>-14368411.745683234</v>
      </c>
      <c r="E11" s="18">
        <f>-E6*Assumptions!B10</f>
        <v>-17618924.518266805</v>
      </c>
      <c r="F11" s="18">
        <f>-F6*Assumptions!B10</f>
        <v>-21604788.801632576</v>
      </c>
    </row>
    <row r="12" spans="1:6" x14ac:dyDescent="0.25">
      <c r="A12" t="s">
        <v>48</v>
      </c>
      <c r="B12" s="18">
        <f>-(B6-Assumptions!B29)*Assumptions!B11</f>
        <v>-33049838.31815532</v>
      </c>
      <c r="C12" s="18">
        <f>-(C6-B6)*Assumptions!B11</f>
        <v>-40526581.29340178</v>
      </c>
      <c r="D12" s="18">
        <f>-(D6-C6)*Assumptions!B11</f>
        <v>-49694760.24421209</v>
      </c>
      <c r="E12" s="18">
        <f>-(E6-D6)*Assumptions!B11</f>
        <v>-60937022.49026862</v>
      </c>
      <c r="F12" s="18">
        <f>-(F6-E6)*Assumptions!B11</f>
        <v>-74722580.24249122</v>
      </c>
    </row>
    <row r="13" spans="1:6" x14ac:dyDescent="0.25">
      <c r="A13" s="19" t="s">
        <v>49</v>
      </c>
      <c r="B13" s="20">
        <f>B9+B10+B11+B12</f>
        <v>509718073.4026512</v>
      </c>
      <c r="C13" s="20">
        <f>C9+C10+C11+C12</f>
        <v>625029712.3880653</v>
      </c>
      <c r="D13" s="20">
        <f>D9+D10+D11+D12</f>
        <v>766427877.9836485</v>
      </c>
      <c r="E13" s="20">
        <f>E9+E10+E11+E12</f>
        <v>939814028.8502146</v>
      </c>
      <c r="F13" s="20">
        <f>F9+F10+F11+F12</f>
        <v>1152424688.8661785</v>
      </c>
    </row>
    <row r="14" spans="1:6" x14ac:dyDescent="0.25">
      <c r="A14" t="s">
        <v>50</v>
      </c>
      <c r="B14" s="21">
        <f>1/(1+Assumptions!$B$26)^(1-0.5*Assumptions!$B$32)</f>
        <v>0.9540210173538114</v>
      </c>
      <c r="C14" s="21">
        <f>1/(1+Assumptions!$B$26)^(2-0.5*Assumptions!$B$32)</f>
        <v>0.8683080499541829</v>
      </c>
      <c r="D14" s="21">
        <f>1/(1+Assumptions!$B$26)^(3-0.5*Assumptions!$B$32)</f>
        <v>0.7902958696932143</v>
      </c>
      <c r="E14" s="21">
        <f>1/(1+Assumptions!$B$26)^(4-0.5*Assumptions!$B$32)</f>
        <v>0.7192926078332568</v>
      </c>
      <c r="F14" s="21">
        <f>1/(1+Assumptions!$B$26)^(5-0.5*Assumptions!$B$32)</f>
        <v>0.654668555821265</v>
      </c>
    </row>
    <row r="15" spans="1:6" x14ac:dyDescent="0.25">
      <c r="A15" s="19" t="s">
        <v>51</v>
      </c>
      <c r="B15" s="20">
        <f>B13*B14</f>
        <v>486281754.951222</v>
      </c>
      <c r="C15" s="20">
        <f>C13*C14</f>
        <v>542718330.7271048</v>
      </c>
      <c r="D15" s="20">
        <f>D13*D14</f>
        <v>605704786.3882122</v>
      </c>
      <c r="E15" s="20">
        <f>E13*E14</f>
        <v>676001283.6899505</v>
      </c>
      <c r="F15" s="20">
        <f>F13*F14</f>
        <v>754456206.7527918</v>
      </c>
    </row>
    <row r="17" spans="1:2" x14ac:dyDescent="0.25">
      <c r="A17" s="22" t="s">
        <v>52</v>
      </c>
      <c r="B17" s="23">
        <f>SUM(B15:F15)</f>
        <v>3065162362.5092816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1152424688.8661785</v>
      </c>
    </row>
    <row r="5" spans="1:2" x14ac:dyDescent="0.25">
      <c r="A5" t="s">
        <v>56</v>
      </c>
      <c r="B5" s="18">
        <f>IF(Assumptions!$B$33=0,B4,B4-Forecast!F11-Forecast!F10-Forecast!F12)</f>
        <v>1246804157.5365267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-51950173.23068862</v>
      </c>
    </row>
    <row r="8" spans="1:2" x14ac:dyDescent="0.25">
      <c r="A8" t="s">
        <v>59</v>
      </c>
      <c r="B8" s="18">
        <f>IF(OR(Assumptions!$B$33=0,Assumptions!B12&lt;=0),B5,MAX(B5+B7,0))</f>
        <v>1194853984.305838</v>
      </c>
    </row>
    <row r="9" spans="1:2" x14ac:dyDescent="0.25">
      <c r="A9" t="s">
        <v>60</v>
      </c>
      <c r="B9" s="18">
        <f>B8*(1+Assumptions!B12)/(Assumptions!B26-Assumptions!B12)</f>
        <v>16614865156.795202</v>
      </c>
    </row>
    <row r="10" spans="1:2" x14ac:dyDescent="0.25">
      <c r="A10" t="s">
        <v>61</v>
      </c>
      <c r="B10" s="18">
        <f>B9/(1+Assumptions!B26)^(5-0.5*Assumptions!B32)</f>
        <v>10877229777.364172</v>
      </c>
    </row>
    <row r="11" spans="1:2" x14ac:dyDescent="0.25">
      <c r="A11" t="s">
        <v>62</v>
      </c>
      <c r="B11" s="18">
        <f>Forecast!B17+B10</f>
        <v>13942392139.873453</v>
      </c>
    </row>
    <row r="12" spans="1:2" x14ac:dyDescent="0.25">
      <c r="A12" t="s">
        <v>63</v>
      </c>
      <c r="B12" s="18">
        <f>-Assumptions!B30</f>
        <v>108087000</v>
      </c>
    </row>
    <row r="13" spans="1:2" x14ac:dyDescent="0.25">
      <c r="A13" t="s">
        <v>64</v>
      </c>
      <c r="B13" s="18">
        <f>B11+B12</f>
        <v>14050479139.873453</v>
      </c>
    </row>
    <row r="14" spans="1:2" x14ac:dyDescent="0.25">
      <c r="A14" s="19" t="s">
        <v>65</v>
      </c>
      <c r="B14" s="24">
        <f>B13/Assumptions!B31</f>
        <v>4.8024664793079035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1705905888.2835586</v>
      </c>
    </row>
    <row r="18" spans="1:2" x14ac:dyDescent="0.25">
      <c r="A18" t="s">
        <v>60</v>
      </c>
      <c r="B18" s="18">
        <f>B17*Assumptions!B13</f>
        <v>8370129292.413045</v>
      </c>
    </row>
    <row r="19" spans="1:2" x14ac:dyDescent="0.25">
      <c r="A19" t="s">
        <v>61</v>
      </c>
      <c r="B19" s="18">
        <f>B18/(1+Assumptions!B26)^(5-0.5*Assumptions!B32)</f>
        <v>5479660455.901315</v>
      </c>
    </row>
    <row r="20" spans="1:2" x14ac:dyDescent="0.25">
      <c r="A20" t="s">
        <v>62</v>
      </c>
      <c r="B20" s="18">
        <f>Forecast!B17+B19</f>
        <v>8544822818.410597</v>
      </c>
    </row>
    <row r="21" spans="1:2" x14ac:dyDescent="0.25">
      <c r="A21" t="s">
        <v>63</v>
      </c>
      <c r="B21" s="18">
        <f>-Assumptions!B30</f>
        <v>108087000</v>
      </c>
    </row>
    <row r="22" spans="1:2" x14ac:dyDescent="0.25">
      <c r="A22" t="s">
        <v>64</v>
      </c>
      <c r="B22" s="18">
        <f>B20+B21</f>
        <v>8652909818.410597</v>
      </c>
    </row>
    <row r="23" spans="1:2" x14ac:dyDescent="0.25">
      <c r="A23" s="19" t="s">
        <v>65</v>
      </c>
      <c r="B23" s="25">
        <f>B22/Assumptions!B31</f>
        <v>2.9575724028842907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1.07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6.743623430244158</v>
      </c>
    </row>
    <row r="29" spans="1:2" x14ac:dyDescent="0.25">
      <c r="A29" s="19" t="s">
        <v>73</v>
      </c>
      <c r="B29" s="12">
        <f>B28/B26-1</f>
        <v>5.302451803966503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0.078713</v>
      </c>
      <c r="B5" s="31">
        <v>5.84556050503178</v>
      </c>
      <c r="C5" s="31">
        <v>6.227692690650397</v>
      </c>
      <c r="D5" s="31">
        <v>6.680498061908535</v>
      </c>
      <c r="E5" s="31">
        <v>7.2257387312729495</v>
      </c>
      <c r="F5" s="31">
        <v>7.895133626101496</v>
      </c>
    </row>
    <row r="6" spans="1:6" x14ac:dyDescent="0.25">
      <c r="A6" s="30">
        <v>0.088713</v>
      </c>
      <c r="B6" s="31">
        <v>5.013976013047757</v>
      </c>
      <c r="C6" s="31">
        <v>5.282639658341026</v>
      </c>
      <c r="D6" s="31">
        <v>5.593090859644207</v>
      </c>
      <c r="E6" s="31">
        <v>5.956005503731077</v>
      </c>
      <c r="F6" s="31">
        <v>6.386034636749781</v>
      </c>
    </row>
    <row r="7" spans="1:6" x14ac:dyDescent="0.25">
      <c r="A7" s="30">
        <v>0.098713</v>
      </c>
      <c r="B7" s="31">
        <v>4.382765600196069</v>
      </c>
      <c r="C7" s="31">
        <v>4.579421656274839</v>
      </c>
      <c r="D7" s="32">
        <v>4.80244092101251</v>
      </c>
      <c r="E7" s="31">
        <v>5.057578464481465</v>
      </c>
      <c r="F7" s="31">
        <v>5.35239591744731</v>
      </c>
    </row>
    <row r="8" spans="1:6" x14ac:dyDescent="0.25">
      <c r="A8" s="30">
        <v>0.108713</v>
      </c>
      <c r="B8" s="31">
        <v>3.8877115332186674</v>
      </c>
      <c r="C8" s="31">
        <v>4.0361853354085575</v>
      </c>
      <c r="D8" s="31">
        <v>4.202128557090191</v>
      </c>
      <c r="E8" s="31">
        <v>4.38887027087389</v>
      </c>
      <c r="F8" s="31">
        <v>4.600642801879117</v>
      </c>
    </row>
    <row r="9" spans="1:6" x14ac:dyDescent="0.25">
      <c r="A9" s="30">
        <v>0.118713</v>
      </c>
      <c r="B9" s="31">
        <v>3.489367307119349</v>
      </c>
      <c r="C9" s="31">
        <v>3.6042492443926313</v>
      </c>
      <c r="D9" s="31">
        <v>3.731161345698626</v>
      </c>
      <c r="E9" s="31">
        <v>3.872137726223279</v>
      </c>
      <c r="F9" s="31">
        <v>4.029698474701669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779286000</v>
      </c>
      <c r="C5" s="18">
        <v>742852000</v>
      </c>
      <c r="D5" s="18">
        <v>501163000</v>
      </c>
      <c r="E5" s="18">
        <v>422654000</v>
      </c>
      <c r="F5" s="8" t="s">
        <v>84</v>
      </c>
    </row>
    <row r="6" spans="1:6" x14ac:dyDescent="0.25">
      <c r="A6" t="s">
        <v>44</v>
      </c>
      <c r="B6" s="18">
        <v>629888000</v>
      </c>
      <c r="C6" s="18">
        <v>586865000</v>
      </c>
      <c r="D6" s="18">
        <v>386861000</v>
      </c>
      <c r="E6" s="18">
        <v>331592000</v>
      </c>
      <c r="F6" s="8" t="s">
        <v>85</v>
      </c>
    </row>
    <row r="7" spans="1:6" x14ac:dyDescent="0.25">
      <c r="A7" t="s">
        <v>86</v>
      </c>
      <c r="B7" s="18">
        <v>1087000</v>
      </c>
      <c r="C7" s="18">
        <v>429000</v>
      </c>
      <c r="D7" s="18">
        <v>430000</v>
      </c>
      <c r="E7" s="18">
        <v>328000</v>
      </c>
      <c r="F7" s="8" t="s">
        <v>87</v>
      </c>
    </row>
    <row r="8" spans="1:6" x14ac:dyDescent="0.25">
      <c r="A8" t="s">
        <v>88</v>
      </c>
      <c r="B8" s="18">
        <v>3057000</v>
      </c>
      <c r="C8" s="18">
        <v>4126000</v>
      </c>
      <c r="D8" s="18">
        <v>684000</v>
      </c>
      <c r="E8" s="18">
        <v>0</v>
      </c>
      <c r="F8" s="8" t="s">
        <v>89</v>
      </c>
    </row>
    <row r="9" spans="1:6" x14ac:dyDescent="0.25">
      <c r="A9" t="s">
        <v>90</v>
      </c>
      <c r="B9" s="18">
        <v>45723000</v>
      </c>
      <c r="C9" s="18">
        <v>2936000</v>
      </c>
      <c r="D9" s="18">
        <v>14718000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26787000</v>
      </c>
      <c r="C10" s="18">
        <v>19459000</v>
      </c>
      <c r="D10" s="18">
        <v>19216000</v>
      </c>
      <c r="E10" s="18">
        <v>10683000</v>
      </c>
      <c r="F10" s="8" t="s">
        <v>92</v>
      </c>
    </row>
    <row r="11" spans="1:6" x14ac:dyDescent="0.25">
      <c r="A11" t="s">
        <v>93</v>
      </c>
      <c r="B11" s="18">
        <v>134874000</v>
      </c>
      <c r="C11" s="18">
        <v>96061000</v>
      </c>
      <c r="D11" s="18">
        <v>64939000</v>
      </c>
      <c r="E11" s="18">
        <v>19481000</v>
      </c>
      <c r="F11" s="8" t="s">
        <v>94</v>
      </c>
    </row>
    <row r="12" spans="1:6" x14ac:dyDescent="0.25">
      <c r="A12" t="s">
        <v>32</v>
      </c>
      <c r="B12" s="34">
        <v>2925679794</v>
      </c>
      <c r="C12" s="34">
        <v>2917997797</v>
      </c>
      <c r="D12" s="34">
        <v>2914240792</v>
      </c>
      <c r="E12" s="34">
        <v>2910688358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19" ht="86" customHeight="1" spans="1:6" x14ac:dyDescent="0.25">
      <c r="A19" s="35" t="s">
        <v>100</v>
      </c>
      <c r="B19" s="35"/>
      <c r="C19" s="35"/>
      <c r="D19" s="35"/>
      <c r="E19" s="35"/>
      <c r="F19" s="35"/>
    </row>
    <row r="20" ht="54" customHeight="1" spans="1:6" x14ac:dyDescent="0.25">
      <c r="A20" s="35" t="s">
        <v>101</v>
      </c>
      <c r="B20" s="35"/>
      <c r="C20" s="35"/>
      <c r="D20" s="35"/>
      <c r="E20" s="35"/>
      <c r="F20" s="35"/>
    </row>
    <row r="22" spans="1:1" x14ac:dyDescent="0.25">
      <c r="A22" s="36" t="s">
        <v>102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2026-09-19T00:07:19Z</dcterms:modified>
</cp:coreProperties>
</file>