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<sst xmlns="http://schemas.openxmlformats.org/spreadsheetml/2006/main" count="112" uniqueCount="100">
  <si>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Grifols, S.A. (GRF.MC)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</si>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</sst>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0.07455995653944836</v>
      </c>
    </row>
    <row r="7" spans="1:2" x14ac:dyDescent="0.25">
      <c r="A7" t="s">
        <v>5</v>
      </c>
      <c r="B7" s="6">
        <v>0.13682589365475128</v>
      </c>
    </row>
    <row r="8" spans="1:2" x14ac:dyDescent="0.25">
      <c r="A8" t="s">
        <v>6</v>
      </c>
      <c r="B8" s="6">
        <v>0.23766410115954922</v>
      </c>
    </row>
    <row r="9" spans="1:2" x14ac:dyDescent="0.25">
      <c r="A9" t="s">
        <v>7</v>
      </c>
      <c r="B9" s="6">
        <v>0.06399315202515156</v>
      </c>
    </row>
    <row r="10" spans="1:2" x14ac:dyDescent="0.25">
      <c r="A10" t="s">
        <v>8</v>
      </c>
      <c r="B10" s="6">
        <v>0.05490386126893171</v>
      </c>
    </row>
    <row r="11" spans="1:2" x14ac:dyDescent="0.25">
      <c r="A11" t="s">
        <v>9</v>
      </c>
      <c r="B11" s="6">
        <v>0.09935897435897435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8.95714223633157</v>
      </c>
    </row>
    <row r="14" spans="1:3" x14ac:dyDescent="0.25">
      <c r="A14" t="s">
        <v>12</v>
      </c>
      <c r="B14" s="6">
        <v>0.07319407299740367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1.1273</v>
      </c>
      <c r="C19" s="8" t="s">
        <v>19</v>
      </c>
    </row>
    <row r="20" spans="1:2" x14ac:dyDescent="0.25">
      <c r="A20" t="s">
        <v>20</v>
      </c>
      <c r="B20" s="10">
        <f>B17+B19*B18</f>
        <v>0.1152745</v>
      </c>
    </row>
    <row r="21" spans="1:3" x14ac:dyDescent="0.25">
      <c r="A21" t="s">
        <v>21</v>
      </c>
      <c r="B21" s="6">
        <v>0.058539559936988665</v>
      </c>
      <c r="C21" s="8" t="s">
        <v>22</v>
      </c>
    </row>
    <row r="22" spans="1:2" x14ac:dyDescent="0.25">
      <c r="A22" t="s">
        <v>23</v>
      </c>
      <c r="B22" s="11">
        <v>6494098944</v>
      </c>
    </row>
    <row r="23" spans="1:2" x14ac:dyDescent="0.25">
      <c r="A23" t="s">
        <v>24</v>
      </c>
      <c r="B23" s="11">
        <v>9566000000</v>
      </c>
    </row>
    <row r="24" spans="1:2" x14ac:dyDescent="0.25">
      <c r="A24" t="s">
        <v>25</v>
      </c>
      <c r="B24" s="10">
        <f>B22/(B22+B23)</f>
        <v>0.4043623247057375</v>
      </c>
    </row>
    <row r="25" spans="1:2" x14ac:dyDescent="0.25">
      <c r="A25" t="s">
        <v>26</v>
      </c>
      <c r="B25" s="10">
        <f>1-B24</f>
        <v>0.5956376752942625</v>
      </c>
    </row>
    <row r="26" spans="1:2" x14ac:dyDescent="0.25">
      <c r="A26" t="s">
        <v>27</v>
      </c>
      <c r="B26" s="12">
        <f>B24*B20+B25*B21*(1-B8)</f>
        <v>0.07319407299740367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7524000000</v>
      </c>
      <c r="C29" s="8" t="s">
        <v>30</v>
      </c>
    </row>
    <row r="30" spans="1:2" x14ac:dyDescent="0.25">
      <c r="A30" t="s">
        <v>31</v>
      </c>
      <c r="B30" s="11">
        <v>8742000000</v>
      </c>
    </row>
    <row r="31" spans="1:2" x14ac:dyDescent="0.25">
      <c r="A31" t="s">
        <v>32</v>
      </c>
      <c r="B31" s="13">
        <v>681573145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0.07455995653944836</v>
      </c>
      <c r="C5" s="10">
        <f>Assumptions!B6</f>
        <v>0.07455995653944836</v>
      </c>
      <c r="D5" s="10">
        <f>Assumptions!B6</f>
        <v>0.07455995653944836</v>
      </c>
      <c r="E5" s="10">
        <f>Assumptions!B6</f>
        <v>0.07455995653944836</v>
      </c>
      <c r="F5" s="10">
        <f>Assumptions!B6</f>
        <v>0.07455995653944836</v>
      </c>
    </row>
    <row r="6" spans="1:6" x14ac:dyDescent="0.25">
      <c r="A6" t="s">
        <v>43</v>
      </c>
      <c r="B6" s="18">
        <f>Assumptions!B29*(1+B5)</f>
        <v>8084989113.00281</v>
      </c>
      <c r="C6" s="18">
        <f>B6*(1+C5)</f>
        <v>8687805549.890213</v>
      </c>
      <c r="D6" s="18">
        <f>C6*(1+D5)</f>
        <v>9335567954.113205</v>
      </c>
      <c r="E6" s="18">
        <f>D6*(1+E5)</f>
        <v>10031627495.042952</v>
      </c>
      <c r="F6" s="18">
        <f>E6*(1+F5)</f>
        <v>10779585205.093288</v>
      </c>
    </row>
    <row r="7" spans="1:6" x14ac:dyDescent="0.25">
      <c r="A7" t="s">
        <v>5</v>
      </c>
      <c r="B7" s="10">
        <f>Assumptions!B7</f>
        <v>0.13682589365475128</v>
      </c>
      <c r="C7" s="10">
        <f>Assumptions!B7</f>
        <v>0.13682589365475128</v>
      </c>
      <c r="D7" s="10">
        <f>Assumptions!B7</f>
        <v>0.13682589365475128</v>
      </c>
      <c r="E7" s="10">
        <f>Assumptions!B7</f>
        <v>0.13682589365475128</v>
      </c>
      <c r="F7" s="10">
        <f>Assumptions!B7</f>
        <v>0.13682589365475128</v>
      </c>
    </row>
    <row r="8" spans="1:6" x14ac:dyDescent="0.25">
      <c r="A8" t="s">
        <v>44</v>
      </c>
      <c r="B8" s="18">
        <f>B6*B7</f>
        <v>1106235860.5755444</v>
      </c>
      <c r="C8" s="18">
        <f>C6*C7</f>
        <v>1188716758.2624364</v>
      </c>
      <c r="D8" s="18">
        <f>D6*D7</f>
        <v>1277347428.0961974</v>
      </c>
      <c r="E8" s="18">
        <f>E6*E7</f>
        <v>1372586396.8208258</v>
      </c>
      <c r="F8" s="18">
        <f>F6*F7</f>
        <v>1474926378.9144247</v>
      </c>
    </row>
    <row r="9" spans="1:6" x14ac:dyDescent="0.25">
      <c r="A9" t="s">
        <v>45</v>
      </c>
      <c r="B9" s="18">
        <f>B8*(1-Assumptions!B8)</f>
        <v>843323309.1013972</v>
      </c>
      <c r="C9" s="18">
        <f>C8*(1-Assumptions!B8)</f>
        <v>906201458.3767012</v>
      </c>
      <c r="D9" s="18">
        <f>D8*(1-Assumptions!B8)</f>
        <v>973767799.7292526</v>
      </c>
      <c r="E9" s="18">
        <f>E8*(1-Assumptions!B8)</f>
        <v>1046371884.5565798</v>
      </c>
      <c r="F9" s="18">
        <f>F8*(1-Assumptions!B8)</f>
        <v>1124389326.793219</v>
      </c>
    </row>
    <row r="10" spans="1:6" x14ac:dyDescent="0.25">
      <c r="A10" t="s">
        <v>46</v>
      </c>
      <c r="B10" s="18">
        <f>B6*Assumptions!B9</f>
        <v>517383937.43008405</v>
      </c>
      <c r="C10" s="18">
        <f>C6*Assumptions!B9</f>
        <v>555960061.3190799</v>
      </c>
      <c r="D10" s="18">
        <f>D6*Assumptions!B9</f>
        <v>597412419.3286995</v>
      </c>
      <c r="E10" s="18">
        <f>E6*Assumptions!B9</f>
        <v>641955463.3499739</v>
      </c>
      <c r="F10" s="18">
        <f>F6*Assumptions!B9</f>
        <v>689819634.7976093</v>
      </c>
    </row>
    <row r="11" spans="1:6" x14ac:dyDescent="0.25">
      <c r="A11" t="s">
        <v>47</v>
      </c>
      <c r="B11" s="18">
        <f>-B6*Assumptions!B10</f>
        <v>-443897120.62112945</v>
      </c>
      <c r="C11" s="18">
        <f>-C6*Assumptions!B10</f>
        <v>-476994070.64262724</v>
      </c>
      <c r="D11" s="18">
        <f>-D6*Assumptions!B10</f>
        <v>-512558727.819316</v>
      </c>
      <c r="E11" s="18">
        <f>-E6*Assumptions!B10</f>
        <v>-550775084.2894391</v>
      </c>
      <c r="F11" s="18">
        <f>-F6*Assumptions!B10</f>
        <v>-591840850.6370707</v>
      </c>
    </row>
    <row r="12" spans="1:6" x14ac:dyDescent="0.25">
      <c r="A12" t="s">
        <v>48</v>
      </c>
      <c r="B12" s="18">
        <f>-(B6-Assumptions!B29)*Assumptions!B11</f>
        <v>-55739302.89450992</v>
      </c>
      <c r="C12" s="18">
        <f>-(C6-B6)*Assumptions!B11</f>
        <v>-59895222.8958638</v>
      </c>
      <c r="D12" s="18">
        <f>-(D6-C6)*Assumptions!B11</f>
        <v>-64361008.11189984</v>
      </c>
      <c r="E12" s="18">
        <f>-(E6-D6)*Assumptions!B11</f>
        <v>-69159762.07955815</v>
      </c>
      <c r="F12" s="18">
        <f>-(F6-E6)*Assumptions!B11</f>
        <v>-74316310.9344886</v>
      </c>
    </row>
    <row r="13" spans="1:6" x14ac:dyDescent="0.25">
      <c r="A13" s="19" t="s">
        <v>49</v>
      </c>
      <c r="B13" s="20">
        <f>B9+B10+B11+B12</f>
        <v>861070823.0158418</v>
      </c>
      <c r="C13" s="20">
        <f>C9+C10+C11+C12</f>
        <v>925272226.1572902</v>
      </c>
      <c r="D13" s="20">
        <f>D9+D10+D11+D12</f>
        <v>994260483.126736</v>
      </c>
      <c r="E13" s="20">
        <f>E9+E10+E11+E12</f>
        <v>1068392501.5375564</v>
      </c>
      <c r="F13" s="20">
        <f>F9+F10+F11+F12</f>
        <v>1148051800.0192692</v>
      </c>
    </row>
    <row r="14" spans="1:6" x14ac:dyDescent="0.25">
      <c r="A14" t="s">
        <v>50</v>
      </c>
      <c r="B14" s="21">
        <f>1/(1+Assumptions!$B$26)^(1-0.5*Assumptions!$B$32)</f>
        <v>0.9652968016957362</v>
      </c>
      <c r="C14" s="21">
        <f>1/(1+Assumptions!$B$26)^(2-0.5*Assumptions!$B$32)</f>
        <v>0.8994615475276404</v>
      </c>
      <c r="D14" s="21">
        <f>1/(1+Assumptions!$B$26)^(3-0.5*Assumptions!$B$32)</f>
        <v>0.8381163949363485</v>
      </c>
      <c r="E14" s="21">
        <f>1/(1+Assumptions!$B$26)^(4-0.5*Assumptions!$B$32)</f>
        <v>0.7809551096340952</v>
      </c>
      <c r="F14" s="21">
        <f>1/(1+Assumptions!$B$26)^(5-0.5*Assumptions!$B$32)</f>
        <v>0.7276923431499277</v>
      </c>
    </row>
    <row r="15" spans="1:6" x14ac:dyDescent="0.25">
      <c r="A15" s="19" t="s">
        <v>51</v>
      </c>
      <c r="B15" s="20">
        <f>B13*B14</f>
        <v>831188911.4907074</v>
      </c>
      <c r="C15" s="20">
        <f>C13*C14</f>
        <v>832246788.4237812</v>
      </c>
      <c r="D15" s="20">
        <f>D13*D14</f>
        <v>833306011.7458521</v>
      </c>
      <c r="E15" s="20">
        <f>E13*E14</f>
        <v>834366583.1705076</v>
      </c>
      <c r="F15" s="20">
        <f>F13*F14</f>
        <v>835428504.4135143</v>
      </c>
    </row>
    <row r="17" spans="1:2" x14ac:dyDescent="0.25">
      <c r="A17" s="22" t="s">
        <v>52</v>
      </c>
      <c r="B17" s="23">
        <f>SUM(B15:F15)</f>
        <v>4166536799.2443624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1148051800.0192692</v>
      </c>
    </row>
    <row r="5" spans="1:2" x14ac:dyDescent="0.25">
      <c r="A5" t="s">
        <v>56</v>
      </c>
      <c r="B5" s="18">
        <f>IF(Assumptions!$B$33=0,B4,B4-Forecast!F11-Forecast!F10-Forecast!F12)</f>
        <v>1124389326.793219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0.34155771056608364</v>
      </c>
    </row>
    <row r="7" spans="1:2" x14ac:dyDescent="0.25">
      <c r="A7" t="s">
        <v>58</v>
      </c>
      <c r="B7" s="18">
        <f>-MAX(Forecast!F9,0)*B6</f>
        <v>-384043844.244432</v>
      </c>
    </row>
    <row r="8" spans="1:2" x14ac:dyDescent="0.25">
      <c r="A8" t="s">
        <v>59</v>
      </c>
      <c r="B8" s="18">
        <f>IF(OR(Assumptions!$B$33=0,Assumptions!B12&lt;=0),B5,MAX(B5+B7,0))</f>
        <v>740345482.5487871</v>
      </c>
    </row>
    <row r="9" spans="1:2" x14ac:dyDescent="0.25">
      <c r="A9" t="s">
        <v>60</v>
      </c>
      <c r="B9" s="18">
        <f>B8*(1+Assumptions!B12)/(Assumptions!B26-Assumptions!B12)</f>
        <v>15745797614.021708</v>
      </c>
    </row>
    <row r="10" spans="1:2" x14ac:dyDescent="0.25">
      <c r="A10" t="s">
        <v>61</v>
      </c>
      <c r="B10" s="18">
        <f>B9/(1+Assumptions!B26)^(5-0.5*Assumptions!B32)</f>
        <v>11458096360.511997</v>
      </c>
    </row>
    <row r="11" spans="1:2" x14ac:dyDescent="0.25">
      <c r="A11" t="s">
        <v>62</v>
      </c>
      <c r="B11" s="18">
        <f>Forecast!B17+B10</f>
        <v>15624633159.75636</v>
      </c>
    </row>
    <row r="12" spans="1:2" x14ac:dyDescent="0.25">
      <c r="A12" t="s">
        <v>63</v>
      </c>
      <c r="B12" s="18">
        <f>-Assumptions!B30</f>
        <v>-8742000000</v>
      </c>
    </row>
    <row r="13" spans="1:2" x14ac:dyDescent="0.25">
      <c r="A13" t="s">
        <v>64</v>
      </c>
      <c r="B13" s="18">
        <f>B11+B12</f>
        <v>6882633159.756359</v>
      </c>
    </row>
    <row r="14" spans="1:2" x14ac:dyDescent="0.25">
      <c r="A14" s="19" t="s">
        <v>65</v>
      </c>
      <c r="B14" s="24">
        <f>B13/Assumptions!B31</f>
        <v>10.098157784307007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2164746013.712034</v>
      </c>
    </row>
    <row r="18" spans="1:2" x14ac:dyDescent="0.25">
      <c r="A18" t="s">
        <v>60</v>
      </c>
      <c r="B18" s="18">
        <f>B17*Assumptions!B13</f>
        <v>19389937950.350464</v>
      </c>
    </row>
    <row r="19" spans="1:2" x14ac:dyDescent="0.25">
      <c r="A19" t="s">
        <v>61</v>
      </c>
      <c r="B19" s="18">
        <f>B18/(1+Assumptions!B26)^(5-0.5*Assumptions!B32)</f>
        <v>14109909380.622236</v>
      </c>
    </row>
    <row r="20" spans="1:2" x14ac:dyDescent="0.25">
      <c r="A20" t="s">
        <v>62</v>
      </c>
      <c r="B20" s="18">
        <f>Forecast!B17+B19</f>
        <v>18276446179.8666</v>
      </c>
    </row>
    <row r="21" spans="1:2" x14ac:dyDescent="0.25">
      <c r="A21" t="s">
        <v>63</v>
      </c>
      <c r="B21" s="18">
        <f>-Assumptions!B30</f>
        <v>-8742000000</v>
      </c>
    </row>
    <row r="22" spans="1:2" x14ac:dyDescent="0.25">
      <c r="A22" t="s">
        <v>64</v>
      </c>
      <c r="B22" s="18">
        <f>B20+B21</f>
        <v>9534446179.8666</v>
      </c>
    </row>
    <row r="23" spans="1:2" x14ac:dyDescent="0.25">
      <c r="A23" s="19" t="s">
        <v>65</v>
      </c>
      <c r="B23" s="25">
        <f>B22/Assumptions!B31</f>
        <v>13.988881824072749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9.542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10.098157784307007</v>
      </c>
    </row>
    <row r="29" spans="1:2" x14ac:dyDescent="0.25">
      <c r="A29" s="19" t="s">
        <v>73</v>
      </c>
      <c r="B29" s="12">
        <f>B28/B26-1</f>
        <v>0.05828524253898637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0.053194</v>
      </c>
      <c r="B5" s="31">
        <v>20.20543849199245</v>
      </c>
      <c r="C5" s="31">
        <v>21.24470418213941</v>
      </c>
      <c r="D5" s="31">
        <v>22.61655059234282</v>
      </c>
      <c r="E5" s="31">
        <v>24.53606398632806</v>
      </c>
      <c r="F5" s="31">
        <v>27.45476710547844</v>
      </c>
    </row>
    <row r="6" spans="1:6" x14ac:dyDescent="0.25">
      <c r="A6" s="30">
        <v>0.063194</v>
      </c>
      <c r="B6" s="31">
        <v>13.651732426187866</v>
      </c>
      <c r="C6" s="31">
        <v>13.804342105662897</v>
      </c>
      <c r="D6" s="31">
        <v>13.971417820888243</v>
      </c>
      <c r="E6" s="31">
        <v>14.15949661278259</v>
      </c>
      <c r="F6" s="31">
        <v>14.37975270813303</v>
      </c>
    </row>
    <row r="7" spans="1:6" x14ac:dyDescent="0.25">
      <c r="A7" s="30">
        <v>0.073194</v>
      </c>
      <c r="B7" s="31">
        <v>9.93416833023725</v>
      </c>
      <c r="C7" s="31">
        <v>10.016174533444094</v>
      </c>
      <c r="D7" s="32">
        <v>10.098180736650932</v>
      </c>
      <c r="E7" s="31">
        <v>10.18018693985777</v>
      </c>
      <c r="F7" s="31">
        <v>10.26219314306461</v>
      </c>
    </row>
    <row r="8" spans="1:6" x14ac:dyDescent="0.25">
      <c r="A8" s="30">
        <v>0.083194</v>
      </c>
      <c r="B8" s="31">
        <v>7.194703932757595</v>
      </c>
      <c r="C8" s="31">
        <v>7.26390362085349</v>
      </c>
      <c r="D8" s="31">
        <v>7.333103308949383</v>
      </c>
      <c r="E8" s="31">
        <v>7.402302997045283</v>
      </c>
      <c r="F8" s="31">
        <v>7.471502685141175</v>
      </c>
    </row>
    <row r="9" spans="1:6" x14ac:dyDescent="0.25">
      <c r="A9" s="30">
        <v>0.093194</v>
      </c>
      <c r="B9" s="31">
        <v>5.045043008589437</v>
      </c>
      <c r="C9" s="31">
        <v>5.104314890790959</v>
      </c>
      <c r="D9" s="31">
        <v>5.1635867729924785</v>
      </c>
      <c r="E9" s="31">
        <v>5.2228586551940035</v>
      </c>
      <c r="F9" s="31">
        <v>5.282130537395522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7524000000</v>
      </c>
      <c r="C5" s="18">
        <v>7212000000</v>
      </c>
      <c r="D5" s="18">
        <v>6592000000</v>
      </c>
      <c r="E5" s="18">
        <v>6063967000</v>
      </c>
      <c r="F5" s="8" t="s">
        <v>84</v>
      </c>
    </row>
    <row r="6" spans="1:6" x14ac:dyDescent="0.25">
      <c r="A6" t="s">
        <v>44</v>
      </c>
      <c r="B6" s="18">
        <v>1251000000</v>
      </c>
      <c r="C6" s="18">
        <v>1155000000</v>
      </c>
      <c r="D6" s="18">
        <v>718000000</v>
      </c>
      <c r="E6" s="18">
        <v>678958000</v>
      </c>
      <c r="F6" s="8" t="s">
        <v>85</v>
      </c>
    </row>
    <row r="7" spans="1:6" x14ac:dyDescent="0.25">
      <c r="A7" t="s">
        <v>86</v>
      </c>
      <c r="B7" s="18">
        <v>450000000</v>
      </c>
      <c r="C7" s="18">
        <v>438000000</v>
      </c>
      <c r="D7" s="18">
        <v>446000000</v>
      </c>
      <c r="E7" s="18">
        <v>410980000</v>
      </c>
      <c r="F7" s="8" t="s">
        <v>87</v>
      </c>
    </row>
    <row r="8" spans="1:6" x14ac:dyDescent="0.25">
      <c r="A8" t="s">
        <v>88</v>
      </c>
      <c r="B8" s="18">
        <v>423000000</v>
      </c>
      <c r="C8" s="18">
        <v>372000000</v>
      </c>
      <c r="D8" s="18">
        <v>310000000</v>
      </c>
      <c r="E8" s="18">
        <v>392872000</v>
      </c>
      <c r="F8" s="8" t="s">
        <v>89</v>
      </c>
    </row>
    <row r="9" spans="1:6" x14ac:dyDescent="0.25">
      <c r="A9" t="s">
        <v>90</v>
      </c>
      <c r="B9" s="18">
        <v>31000000</v>
      </c>
      <c r="C9" s="18">
        <v>-23000000</v>
      </c>
      <c r="D9" s="18">
        <v>363000000</v>
      </c>
      <c r="E9" s="18">
        <v>584351000</v>
      </c>
      <c r="F9" s="8" t="s">
        <v>91</v>
      </c>
    </row>
    <row r="10" spans="1:6" x14ac:dyDescent="0.25">
      <c r="A10" t="s">
        <v>92</v>
      </c>
      <c r="B10" s="18">
        <v>9566000000</v>
      </c>
      <c r="C10" s="18">
        <v>10113000000</v>
      </c>
      <c r="D10" s="18">
        <v>10972953000</v>
      </c>
      <c r="E10" s="18">
        <v>9750125000</v>
      </c>
      <c r="F10" s="8" t="s">
        <v>93</v>
      </c>
    </row>
    <row r="11" spans="1:6" x14ac:dyDescent="0.25">
      <c r="A11" t="s">
        <v>94</v>
      </c>
      <c r="B11" s="18">
        <v>824000000</v>
      </c>
      <c r="C11" s="18">
        <v>1001000000</v>
      </c>
      <c r="D11" s="18">
        <v>544503000</v>
      </c>
      <c r="E11" s="18">
        <v>580241000</v>
      </c>
      <c r="F11" s="8" t="s">
        <v>95</v>
      </c>
    </row>
    <row r="12" spans="1:6" x14ac:dyDescent="0.25">
      <c r="A12" t="s">
        <v>32</v>
      </c>
      <c r="B12" s="34">
        <v>681573145</v>
      </c>
      <c r="C12" s="34">
        <v>679916715</v>
      </c>
      <c r="D12" s="34">
        <v>679756294</v>
      </c>
      <c r="E12" s="34">
        <v>679805142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2026-09-19T00:07:21Z</dcterms:modified>
</cp:coreProperties>
</file>