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<sst xmlns="http://schemas.openxmlformats.org/spreadsheetml/2006/main" count="121" uniqueCount="108">
  <si>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Garmin Ltd. (GRMN)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</si>
  <si>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</si>
  <si>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</si>
  <si>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</si>
  <si>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</si>
  <si>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</si>
  <si>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</si>
  <si>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</si>
  <si>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</si>
  <si>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</si>
  <si>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</si>
  <si>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</si>
  <si>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</si>
  <si>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</si>
  <si>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</si>
  <si>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</si>
  <si>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</si>
  <si>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</si>
  <si>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</si>
  <si>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</si>
  <si>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</si>
  <si>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</si>
  <si>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</si>
  <si>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</si>
  <si>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</si>
  <si>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</si>
  <si>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</si>
  <si>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</si>
  <si>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</si>
  <si>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</si>
  <si>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</si>
  <si>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</si>
  <si>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</si>
  <si>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</si>
  <si>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</si>
  <si>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</si>
  <si>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</si>
  <si>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</si>
  <si>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</si>
  <si>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</si>
  <si>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</si>
  <si>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</si>
  <si>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</si>
  <si>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</si>
  <si>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</si>
  <si>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</si>
  <si>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</si>
  <si>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</si>
  <si>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</si>
  <si>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</si>
  <si>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</si>
  <si>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</si>
  <si>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</si>
  <si>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</si>
  <si>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</si>
  <si>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</si>
  <si>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</si>
  <si>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</si>
  <si>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</si>
  <si>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</si>
  <si>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</si>
  <si>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</si>
  <si>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</si>
  <si>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</si>
  <si>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</si>
  <si>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</si>
  <si>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</si>
  <si>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</si>
  <si>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</si>
  <si>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</si>
  <si>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</si>
  <si>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</si>
  <si>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</si>
  <si>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</si>
  <si>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</si>
  <si>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</si>
  <si>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</si>
  <si>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</si>
  <si>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</si>
  <si>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</si>
  <si>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</si>
  <si>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</si>
  <si>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</si>
  <si>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</si>
  <si>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</si>
  <si>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</si>
  <si>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</si>
  <si>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</si>
  <si>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</si>
  <si>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</si>
  <si>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</si>
  <si>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</si>
  <si>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</si>
  <si>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</si>
  <si>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</si>
  <si>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</si>
  <si>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</si>
  <si>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</si>
  <si>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</si>
  <si>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</si>
  <si>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</si>
  <si>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</si>
  <si>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</si>
  <si>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</si>
  <si>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</si>
  <si>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3.9% of revenue against depreciation of 3.1%.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</si>
  <si>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24.2x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</si>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</sst>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0.11949117654649721</v>
      </c>
    </row>
    <row r="7" spans="1:2" x14ac:dyDescent="0.25">
      <c r="A7" t="s">
        <v>4</v>
      </c>
      <c r="B7" s="5">
        <v>0.23311065453140528</v>
      </c>
    </row>
    <row r="8" spans="1:2" x14ac:dyDescent="0.25">
      <c r="A8" t="s">
        <v>5</v>
      </c>
      <c r="B8" s="5">
        <v>0.16749134865438914</v>
      </c>
    </row>
    <row r="9" spans="1:2" x14ac:dyDescent="0.25">
      <c r="A9" t="s">
        <v>6</v>
      </c>
      <c r="B9" s="5">
        <v>0.03056794515852288</v>
      </c>
    </row>
    <row r="10" spans="1:3" x14ac:dyDescent="0.25">
      <c r="A10" t="s">
        <v>7</v>
      </c>
      <c r="B10" s="5">
        <v>0.038835833340332276</v>
      </c>
      <c r="C10" s="6" t="s">
        <v>8</v>
      </c>
    </row>
    <row r="11" spans="1:2" x14ac:dyDescent="0.25">
      <c r="A11" t="s">
        <v>9</v>
      </c>
      <c r="B11" s="5">
        <v>0.3672021744515245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0.1534993994442455</v>
      </c>
      <c r="C14" s="6" t="s">
        <v>13</v>
      </c>
    </row>
    <row r="15" spans="1:3" x14ac:dyDescent="0.25">
      <c r="A15" t="s">
        <v>14</v>
      </c>
      <c r="B15" s="5">
        <v>0.02327987674314559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0.8861</v>
      </c>
      <c r="C19" s="6" t="s">
        <v>21</v>
      </c>
    </row>
    <row r="20" spans="1:2" x14ac:dyDescent="0.25">
      <c r="A20" t="s">
        <v>22</v>
      </c>
      <c r="B20" s="9">
        <f>B17+B19*B18</f>
        <v>0.08642203000000001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52542230528</v>
      </c>
    </row>
    <row r="23" spans="1:2" x14ac:dyDescent="0.25">
      <c r="A23" t="s">
        <v>26</v>
      </c>
      <c r="B23" s="10">
        <v>164835000</v>
      </c>
    </row>
    <row r="24" spans="1:2" x14ac:dyDescent="0.25">
      <c r="A24" t="s">
        <v>27</v>
      </c>
      <c r="B24" s="9">
        <f>B22/(B22+B23)</f>
        <v>0.9968726204286135</v>
      </c>
    </row>
    <row r="25" spans="1:2" x14ac:dyDescent="0.25">
      <c r="A25" t="s">
        <v>28</v>
      </c>
      <c r="B25" s="9">
        <f>1-B24</f>
        <v>0.003127379571386535</v>
      </c>
    </row>
    <row r="26" spans="1:2" x14ac:dyDescent="0.25">
      <c r="A26" t="s">
        <v>29</v>
      </c>
      <c r="B26" s="11">
        <f>B24*B20+B25*B21*(1-B8)</f>
        <v>0.08633124566252354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7245519000</v>
      </c>
      <c r="C29" s="6" t="s">
        <v>32</v>
      </c>
    </row>
    <row r="30" spans="1:2" x14ac:dyDescent="0.25">
      <c r="A30" t="s">
        <v>33</v>
      </c>
      <c r="B30" s="10">
        <v>-2573013000</v>
      </c>
    </row>
    <row r="31" spans="1:2" x14ac:dyDescent="0.25">
      <c r="A31" t="s">
        <v>34</v>
      </c>
      <c r="B31" s="12">
        <v>193616000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0.11949117654649721</v>
      </c>
      <c r="C5" s="5">
        <v>0.11738569095663931</v>
      </c>
      <c r="D5" s="5">
        <v>0.1058374795870594</v>
      </c>
      <c r="E5" s="5">
        <v>0.09428926821747949</v>
      </c>
      <c r="F5" s="5">
        <v>0.08274105684789956</v>
      </c>
      <c r="G5" s="5">
        <v>0.07119284547831965</v>
      </c>
      <c r="H5" s="5">
        <v>0.05964463410873974</v>
      </c>
      <c r="I5" s="5">
        <v>0.048096422739159816</v>
      </c>
      <c r="J5" s="5">
        <v>0.036548211369579905</v>
      </c>
      <c r="K5" s="5">
        <v>0.024999999999999994</v>
      </c>
    </row>
    <row r="6" spans="1:11" x14ac:dyDescent="0.25">
      <c r="A6" t="s">
        <v>50</v>
      </c>
      <c r="B6" s="18">
        <f>Assumptions!B29*(1+B5)</f>
        <v>8111294590</v>
      </c>
      <c r="C6" s="18">
        <f>B6*(1+C5)</f>
        <v>9063444510</v>
      </c>
      <c r="D6" s="18">
        <f>C6*(1+D5)</f>
        <v>10022696633.31557</v>
      </c>
      <c r="E6" s="18">
        <f>D6*(1+E5)</f>
        <v>10967729364.436691</v>
      </c>
      <c r="F6" s="18">
        <f>E6*(1+F5)</f>
        <v>11875210883.271927</v>
      </c>
      <c r="G6" s="18">
        <f>F6*(1+G5)</f>
        <v>12720640936.707167</v>
      </c>
      <c r="H6" s="18">
        <f>G6*(1+H5)</f>
        <v>13479358911.005722</v>
      </c>
      <c r="I6" s="18">
        <f>H6*(1+I5)</f>
        <v>14127667855.442314</v>
      </c>
      <c r="J6" s="18">
        <f>I6*(1+J5)</f>
        <v>14644008846.382238</v>
      </c>
      <c r="K6" s="18">
        <f>J6*(1+K5)</f>
        <v>15010109067.541794</v>
      </c>
    </row>
    <row r="7" spans="1:11" x14ac:dyDescent="0.25">
      <c r="A7" t="s">
        <v>4</v>
      </c>
      <c r="B7" s="9">
        <f>Assumptions!B7</f>
        <v>0.23311065453140528</v>
      </c>
      <c r="C7" s="9">
        <f>Assumptions!B7</f>
        <v>0.23311065453140528</v>
      </c>
      <c r="D7" s="9">
        <f>Assumptions!B7</f>
        <v>0.23311065453140528</v>
      </c>
      <c r="E7" s="9">
        <f>Assumptions!B7</f>
        <v>0.23311065453140528</v>
      </c>
      <c r="F7" s="9">
        <f>Assumptions!B7</f>
        <v>0.23311065453140528</v>
      </c>
      <c r="G7" s="9">
        <f>Assumptions!B7</f>
        <v>0.23311065453140528</v>
      </c>
      <c r="H7" s="9">
        <f>Assumptions!B7</f>
        <v>0.23311065453140528</v>
      </c>
      <c r="I7" s="9">
        <f>Assumptions!B7</f>
        <v>0.23311065453140528</v>
      </c>
      <c r="J7" s="9">
        <f>Assumptions!B7</f>
        <v>0.23311065453140528</v>
      </c>
      <c r="K7" s="9">
        <f>Assumptions!B7</f>
        <v>0.23311065453140528</v>
      </c>
    </row>
    <row r="8" spans="1:11" x14ac:dyDescent="0.25">
      <c r="A8" t="s">
        <v>51</v>
      </c>
      <c r="B8" s="18">
        <f>B6*B7</f>
        <v>1890829190.9719467</v>
      </c>
      <c r="C8" s="18">
        <f>C6*C7</f>
        <v>2112785482.0351717</v>
      </c>
      <c r="D8" s="18">
        <f>D6*D7</f>
        <v>2336397372.3619046</v>
      </c>
      <c r="E8" s="18">
        <f>E6*E7</f>
        <v>2556694570.867151</v>
      </c>
      <c r="F8" s="18">
        <f>F6*F7</f>
        <v>2768238181.697986</v>
      </c>
      <c r="G8" s="18">
        <f>G6*G7</f>
        <v>2965316934.814796</v>
      </c>
      <c r="H8" s="18">
        <f>H6*H7</f>
        <v>3142182178.408274</v>
      </c>
      <c r="I8" s="18">
        <f>I6*I7</f>
        <v>3293309900.7844524</v>
      </c>
      <c r="J8" s="18">
        <f>J6*J7</f>
        <v>3413674487.1438527</v>
      </c>
      <c r="K8" s="18">
        <f>K6*K7</f>
        <v>3499016349.3224487</v>
      </c>
    </row>
    <row r="9" spans="1:11" x14ac:dyDescent="0.25">
      <c r="A9" t="s">
        <v>52</v>
      </c>
      <c r="B9" s="18">
        <f>B8*(1-Assumptions!B8)</f>
        <v>1574131659.7009678</v>
      </c>
      <c r="C9" s="18">
        <f>C8*(1-Assumptions!B8)</f>
        <v>1758912192.231687</v>
      </c>
      <c r="D9" s="18">
        <f>D8*(1-Assumptions!B8)</f>
        <v>1945071025.472438</v>
      </c>
      <c r="E9" s="18">
        <f>E8*(1-Assumptions!B8)</f>
        <v>2128470349.0952568</v>
      </c>
      <c r="F9" s="18">
        <f>F8*(1-Assumptions!B8)</f>
        <v>2304582235.2488165</v>
      </c>
      <c r="G9" s="18">
        <f>G8*(1-Assumptions!B8)</f>
        <v>2468652002.2149663</v>
      </c>
      <c r="H9" s="18">
        <f>H8*(1-Assumptions!B8)</f>
        <v>2615893847.6288857</v>
      </c>
      <c r="I9" s="18">
        <f>I8*(1-Assumptions!B8)</f>
        <v>2741708983.965212</v>
      </c>
      <c r="J9" s="18">
        <f>J8*(1-Assumptions!B8)</f>
        <v>2841913543.4250484</v>
      </c>
      <c r="K9" s="18">
        <f>K8*(1-Assumptions!B8)</f>
        <v>2912961382.0106745</v>
      </c>
    </row>
    <row r="10" spans="1:11" x14ac:dyDescent="0.25">
      <c r="A10" t="s">
        <v>53</v>
      </c>
      <c r="B10" s="18">
        <f>B6*Assumptions!B9</f>
        <v>247945608.19174334</v>
      </c>
      <c r="C10" s="18">
        <f>C6*Assumptions!B9</f>
        <v>277050874.72899526</v>
      </c>
      <c r="D10" s="18">
        <f>D6*Assumptions!B9</f>
        <v>306373241.0277023</v>
      </c>
      <c r="E10" s="18">
        <f>E6*Assumptions!B9</f>
        <v>335260949.7256218</v>
      </c>
      <c r="F10" s="18">
        <f>F6*Assumptions!B9</f>
        <v>363000795.02575034</v>
      </c>
      <c r="G10" s="18">
        <f>G6*Assumptions!B9</f>
        <v>388843854.5345258</v>
      </c>
      <c r="H10" s="18">
        <f>H6*Assumptions!B9</f>
        <v>412036303.9636696</v>
      </c>
      <c r="I10" s="18">
        <f>I6*Assumptions!B9</f>
        <v>431853776.22298723</v>
      </c>
      <c r="J10" s="18">
        <f>J6*Assumptions!B9</f>
        <v>447637259.31713617</v>
      </c>
      <c r="K10" s="18">
        <f>K6*Assumptions!B9</f>
        <v>458828190.80006456</v>
      </c>
    </row>
    <row r="11" spans="1:11" x14ac:dyDescent="0.25">
      <c r="A11" t="s">
        <v>54</v>
      </c>
      <c r="B11" s="18">
        <f>-B6*B19</f>
        <v>-315008884.8715788</v>
      </c>
      <c r="C11" s="18">
        <f>-C6*C19</f>
        <v>-369145824.7068481</v>
      </c>
      <c r="D11" s="18">
        <f>-D6*D19</f>
        <v>-427190800.7156618</v>
      </c>
      <c r="E11" s="18">
        <f>-E6*E19</f>
        <v>-488235008.19700515</v>
      </c>
      <c r="F11" s="18">
        <f>-F6*F19</f>
        <v>-551114881.4391416</v>
      </c>
      <c r="G11" s="18">
        <f>-G6*G19</f>
        <v>-614433724.6927593</v>
      </c>
      <c r="H11" s="18">
        <f>-H6*H19</f>
        <v>-676601252.0228865</v>
      </c>
      <c r="I11" s="18">
        <f>-I6*I19</f>
        <v>-735890618.1234403</v>
      </c>
      <c r="J11" s="18">
        <f>-J6*J19</f>
        <v>-790510934.9776572</v>
      </c>
      <c r="K11" s="18">
        <f>-K6*K19</f>
        <v>-838691660.125203</v>
      </c>
    </row>
    <row r="12" spans="1:11" x14ac:dyDescent="0.25">
      <c r="A12" t="s">
        <v>55</v>
      </c>
      <c r="B12" s="18">
        <f>-(B6-Assumptions!B29)*Assumptions!B11</f>
        <v>-317914679.2350515</v>
      </c>
      <c r="C12" s="18">
        <f>-(C6-B6)*Assumptions!B11</f>
        <v>-349631521.0278451</v>
      </c>
      <c r="D12" s="18">
        <f>-(D6-C6)*Assumptions!B11</f>
        <v>-352239465.5287195</v>
      </c>
      <c r="E12" s="18">
        <f>-(E6-D6)*Assumptions!B11</f>
        <v>-347018073.7955383</v>
      </c>
      <c r="F12" s="18">
        <f>-(F6-E6)*Assumptions!B11</f>
        <v>-333229186.9908706</v>
      </c>
      <c r="G12" s="18">
        <f>-(G6-F6)*Assumptions!B11</f>
        <v>-310443753.96808857</v>
      </c>
      <c r="H12" s="18">
        <f>-(H6-G6)*Assumptions!B11</f>
        <v>-278602889.9578854</v>
      </c>
      <c r="I12" s="18">
        <f>-(I6-H6)*Assumptions!B11</f>
        <v>-238060454.11348918</v>
      </c>
      <c r="J12" s="18">
        <f>-(J6-I6)*Assumptions!B11</f>
        <v>-189601534.63159508</v>
      </c>
      <c r="K12" s="18">
        <f>-(K6-J6)*Assumptions!B11</f>
        <v>-134432797.27697277</v>
      </c>
    </row>
    <row r="13" spans="1:11" x14ac:dyDescent="0.25">
      <c r="A13" s="19" t="s">
        <v>56</v>
      </c>
      <c r="B13" s="20">
        <f>B9+B10+B11+B12</f>
        <v>1189153703.7860808</v>
      </c>
      <c r="C13" s="20">
        <f>C9+C10+C11+C12</f>
        <v>1317185721.225989</v>
      </c>
      <c r="D13" s="20">
        <f>D9+D10+D11+D12</f>
        <v>1472014000.255759</v>
      </c>
      <c r="E13" s="20">
        <f>E9+E10+E11+E12</f>
        <v>1628478216.8283348</v>
      </c>
      <c r="F13" s="20">
        <f>F9+F10+F11+F12</f>
        <v>1783238961.8445544</v>
      </c>
      <c r="G13" s="20">
        <f>G9+G10+G11+G12</f>
        <v>1932618378.0886445</v>
      </c>
      <c r="H13" s="20">
        <f>H9+H10+H11+H12</f>
        <v>2072726009.6117835</v>
      </c>
      <c r="I13" s="20">
        <f>I9+I10+I11+I12</f>
        <v>2199611687.9512696</v>
      </c>
      <c r="J13" s="20">
        <f>J9+J10+J11+J12</f>
        <v>2309438333.132932</v>
      </c>
      <c r="K13" s="20">
        <f>K9+K10+K11+K12</f>
        <v>2398665115.408563</v>
      </c>
    </row>
    <row r="14" spans="1:11" x14ac:dyDescent="0.25">
      <c r="A14" t="s">
        <v>57</v>
      </c>
      <c r="B14" s="21">
        <f>1/(1+Assumptions!$B$26)^(1-0.5*Assumptions!$B$32)</f>
        <v>0.9594423058684949</v>
      </c>
      <c r="C14" s="21">
        <f>1/(1+Assumptions!$B$26)^(2-0.5*Assumptions!$B$32)</f>
        <v>0.8831949828372629</v>
      </c>
      <c r="D14" s="21">
        <f>1/(1+Assumptions!$B$26)^(3-0.5*Assumptions!$B$32)</f>
        <v>0.813007069771455</v>
      </c>
      <c r="E14" s="21">
        <f>1/(1+Assumptions!$B$26)^(4-0.5*Assumptions!$B$32)</f>
        <v>0.7483970225634302</v>
      </c>
      <c r="F14" s="21">
        <f>1/(1+Assumptions!$B$26)^(5-0.5*Assumptions!$B$32)</f>
        <v>0.6889215656381157</v>
      </c>
      <c r="G14" s="21">
        <f>1/(1+Assumptions!$B$26)^(6-0.5*Assumptions!$B$32)</f>
        <v>0.634172650735054</v>
      </c>
      <c r="H14" s="21">
        <f>1/(1+Assumptions!$B$26)^(7-0.5*Assumptions!$B$32)</f>
        <v>0.5837746573774462</v>
      </c>
      <c r="I14" s="21">
        <f>1/(1+Assumptions!$B$26)^(8-0.5*Assumptions!$B$32)</f>
        <v>0.537381815821212</v>
      </c>
      <c r="J14" s="21">
        <f>1/(1+Assumptions!$B$26)^(9-0.5*Assumptions!$B$32)</f>
        <v>0.49467583480347904</v>
      </c>
      <c r="K14" s="21">
        <f>1/(1+Assumptions!$B$26)^(10-0.5*Assumptions!$B$32)</f>
        <v>0.4553637178149928</v>
      </c>
    </row>
    <row r="15" spans="1:11" x14ac:dyDescent="0.25">
      <c r="A15" s="19" t="s">
        <v>58</v>
      </c>
      <c r="B15" s="20">
        <f>B13*B14</f>
        <v>1140924371.5925786</v>
      </c>
      <c r="C15" s="20">
        <f>C13*C14</f>
        <v>1163331820.4516752</v>
      </c>
      <c r="D15" s="20">
        <f>D13*D14</f>
        <v>1196757789.0104923</v>
      </c>
      <c r="E15" s="20">
        <f>E13*E14</f>
        <v>1218748248.7837298</v>
      </c>
      <c r="F15" s="20">
        <f>F13*F14</f>
        <v>1228511777.5008385</v>
      </c>
      <c r="G15" s="20">
        <f>G13*G14</f>
        <v>1225613719.6917565</v>
      </c>
      <c r="H15" s="20">
        <f>H13*H14</f>
        <v>1210004916.0984402</v>
      </c>
      <c r="I15" s="20">
        <f>I13*I14</f>
        <v>1182031322.9728146</v>
      </c>
      <c r="J15" s="20">
        <f>J13*J14</f>
        <v>1142423335.3696883</v>
      </c>
      <c r="K15" s="20">
        <f>K13*K14</f>
        <v>1092265064.745572</v>
      </c>
    </row>
    <row r="17" spans="1:2" x14ac:dyDescent="0.25">
      <c r="A17" s="22" t="s">
        <v>59</v>
      </c>
      <c r="B17" s="23">
        <f>SUM(B15:K15)</f>
        <v>11800612366.217587</v>
      </c>
    </row>
    <row r="19" spans="1:11" x14ac:dyDescent="0.25">
      <c r="A19" t="s">
        <v>7</v>
      </c>
      <c r="B19" s="9">
        <f>Assumptions!$B$10+($B$20-Assumptions!$B$10)*0/9</f>
        <v>0.038835833340332276</v>
      </c>
      <c r="C19" s="9">
        <f>Assumptions!$B$10+($B$20-Assumptions!$B$10)*1/9</f>
        <v>0.040729087522912204</v>
      </c>
      <c r="D19" s="9">
        <f>Assumptions!$B$10+($B$20-Assumptions!$B$10)*2/9</f>
        <v>0.04262234170549213</v>
      </c>
      <c r="E19" s="9">
        <f>Assumptions!$B$10+($B$20-Assumptions!$B$10)*3/9</f>
        <v>0.04451559588807206</v>
      </c>
      <c r="F19" s="9">
        <f>Assumptions!$B$10+($B$20-Assumptions!$B$10)*4/9</f>
        <v>0.046408850070651986</v>
      </c>
      <c r="G19" s="9">
        <f>Assumptions!$B$10+($B$20-Assumptions!$B$10)*5/9</f>
        <v>0.04830210425323191</v>
      </c>
      <c r="H19" s="9">
        <f>Assumptions!$B$10+($B$20-Assumptions!$B$10)*6/9</f>
        <v>0.05019535843581184</v>
      </c>
      <c r="I19" s="9">
        <f>Assumptions!$B$10+($B$20-Assumptions!$B$10)*7/9</f>
        <v>0.05208861261839177</v>
      </c>
      <c r="J19" s="9">
        <f>Assumptions!$B$10+($B$20-Assumptions!$B$10)*8/9</f>
        <v>0.053981866800971695</v>
      </c>
      <c r="K19" s="9">
        <f>Assumptions!$B$10+($B$20-Assumptions!$B$10)*9/9</f>
        <v>0.05587512098355162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0.05587512098355162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2398665115.408563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3004033417.6759753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0.1628670867150889</v>
      </c>
    </row>
    <row r="7" spans="1:2" x14ac:dyDescent="0.25">
      <c r="A7" t="s">
        <v>66</v>
      </c>
      <c r="B7" s="18">
        <f>-MAX(B5,0)*B6</f>
        <v>-489258171.13165796</v>
      </c>
    </row>
    <row r="8" spans="1:2" x14ac:dyDescent="0.25">
      <c r="A8" t="s">
        <v>67</v>
      </c>
      <c r="B8" s="18">
        <f>IF(OR(Assumptions!$B$33=0,Assumptions!B12&lt;=0),B5,MAX(B5+B7,0))</f>
        <v>2514775246.5443172</v>
      </c>
    </row>
    <row r="9" spans="1:2" x14ac:dyDescent="0.25">
      <c r="A9" t="s">
        <v>68</v>
      </c>
      <c r="B9" s="18">
        <f>B8*(1+Assumptions!B12)/(Assumptions!B26-Assumptions!B12)</f>
        <v>42028245144.26901</v>
      </c>
    </row>
    <row r="10" spans="1:2" x14ac:dyDescent="0.25">
      <c r="A10" t="s">
        <v>69</v>
      </c>
      <c r="B10" s="18">
        <f>B9/(1+Assumptions!B26)^(10-0.5*Assumptions!B32)</f>
        <v>19138137962.134254</v>
      </c>
    </row>
    <row r="11" spans="1:2" x14ac:dyDescent="0.25">
      <c r="A11" t="s">
        <v>70</v>
      </c>
      <c r="B11" s="18">
        <f>Forecast!B17+B10</f>
        <v>30938750328.35184</v>
      </c>
    </row>
    <row r="12" spans="1:2" x14ac:dyDescent="0.25">
      <c r="A12" t="s">
        <v>71</v>
      </c>
      <c r="B12" s="18">
        <f>-Assumptions!B30</f>
        <v>2573013000</v>
      </c>
    </row>
    <row r="13" spans="1:2" x14ac:dyDescent="0.25">
      <c r="A13" t="s">
        <v>72</v>
      </c>
      <c r="B13" s="18">
        <f>B11+B12</f>
        <v>33511763328.35184</v>
      </c>
    </row>
    <row r="14" spans="1:2" x14ac:dyDescent="0.25">
      <c r="A14" s="19" t="s">
        <v>73</v>
      </c>
      <c r="B14" s="24">
        <f>B13/Assumptions!B31</f>
        <v>173.0836466425907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3957844540.1225133</v>
      </c>
    </row>
    <row r="18" spans="1:2" x14ac:dyDescent="0.25">
      <c r="A18" t="s">
        <v>68</v>
      </c>
      <c r="B18" s="18">
        <f>B17*Assumptions!B13</f>
        <v>79156890802.45027</v>
      </c>
    </row>
    <row r="19" spans="1:2" x14ac:dyDescent="0.25">
      <c r="A19" t="s">
        <v>69</v>
      </c>
      <c r="B19" s="18">
        <f>B18/(1+Assumptions!B26)^(10-0.5*Assumptions!B32)</f>
        <v>36045176086.479164</v>
      </c>
    </row>
    <row r="20" spans="1:2" x14ac:dyDescent="0.25">
      <c r="A20" t="s">
        <v>70</v>
      </c>
      <c r="B20" s="18">
        <f>Forecast!B17+B19</f>
        <v>47845788452.69675</v>
      </c>
    </row>
    <row r="21" spans="1:2" x14ac:dyDescent="0.25">
      <c r="A21" t="s">
        <v>71</v>
      </c>
      <c r="B21" s="18">
        <f>-Assumptions!B30</f>
        <v>2573013000</v>
      </c>
    </row>
    <row r="22" spans="1:2" x14ac:dyDescent="0.25">
      <c r="A22" t="s">
        <v>72</v>
      </c>
      <c r="B22" s="18">
        <f>B20+B21</f>
        <v>50418801452.69675</v>
      </c>
    </row>
    <row r="23" spans="1:2" x14ac:dyDescent="0.25">
      <c r="A23" s="19" t="s">
        <v>73</v>
      </c>
      <c r="B23" s="25">
        <f>B22/Assumptions!B31</f>
        <v>260.4061722827491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272.67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173.0836466425907</v>
      </c>
    </row>
    <row r="29" spans="1:2" x14ac:dyDescent="0.25">
      <c r="A29" s="19" t="s">
        <v>81</v>
      </c>
      <c r="B29" s="11">
        <f>B28/B26-1</f>
        <v>-0.36522665990908165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0.066331</v>
      </c>
      <c r="B5" s="31">
        <v>233.5165861652701</v>
      </c>
      <c r="C5" s="31">
        <v>243.0729082649317</v>
      </c>
      <c r="D5" s="31">
        <v>255.22565846814763</v>
      </c>
      <c r="E5" s="31">
        <v>271.04682547749496</v>
      </c>
      <c r="F5" s="31">
        <v>292.292697062019</v>
      </c>
    </row>
    <row r="6" spans="1:6" x14ac:dyDescent="0.25">
      <c r="A6" s="30">
        <v>0.076331</v>
      </c>
      <c r="B6" s="31">
        <v>195.03596789391642</v>
      </c>
      <c r="C6" s="31">
        <v>199.96731038332655</v>
      </c>
      <c r="D6" s="31">
        <v>206.0754981950509</v>
      </c>
      <c r="E6" s="31">
        <v>213.7415436067161</v>
      </c>
      <c r="F6" s="31">
        <v>223.53083008349614</v>
      </c>
    </row>
    <row r="7" spans="1:6" x14ac:dyDescent="0.25">
      <c r="A7" s="30">
        <v>0.086331</v>
      </c>
      <c r="B7" s="31">
        <v>167.50467564940956</v>
      </c>
      <c r="C7" s="31">
        <v>170.00515954857167</v>
      </c>
      <c r="D7" s="32">
        <v>173.0843234390391</v>
      </c>
      <c r="E7" s="31">
        <v>176.89626009157027</v>
      </c>
      <c r="F7" s="31">
        <v>181.65510115041423</v>
      </c>
    </row>
    <row r="8" spans="1:6" x14ac:dyDescent="0.25">
      <c r="A8" s="30">
        <v>0.096331</v>
      </c>
      <c r="B8" s="31">
        <v>146.87291068581476</v>
      </c>
      <c r="C8" s="31">
        <v>148.01072929376846</v>
      </c>
      <c r="D8" s="31">
        <v>149.44711578793905</v>
      </c>
      <c r="E8" s="31">
        <v>151.2495878944765</v>
      </c>
      <c r="F8" s="31">
        <v>153.50768082698394</v>
      </c>
    </row>
    <row r="9" spans="1:6" x14ac:dyDescent="0.25">
      <c r="A9" s="30">
        <v>0.106331</v>
      </c>
      <c r="B9" s="31">
        <v>130.86544144906367</v>
      </c>
      <c r="C9" s="31">
        <v>131.2071863157664</v>
      </c>
      <c r="D9" s="31">
        <v>131.70640693342972</v>
      </c>
      <c r="E9" s="31">
        <v>132.39404926456456</v>
      </c>
      <c r="F9" s="31">
        <v>133.30973599358674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7245519000</v>
      </c>
      <c r="C5" s="18">
        <v>6296903000</v>
      </c>
      <c r="D5" s="18">
        <v>5228252000</v>
      </c>
      <c r="E5" s="18">
        <v>4860286000</v>
      </c>
      <c r="F5" s="6" t="s">
        <v>91</v>
      </c>
    </row>
    <row r="6" spans="1:6" x14ac:dyDescent="0.25">
      <c r="A6" t="s">
        <v>51</v>
      </c>
      <c r="B6" s="18">
        <v>1876076000</v>
      </c>
      <c r="C6" s="18">
        <v>1593994000</v>
      </c>
      <c r="D6" s="18">
        <v>1092160000</v>
      </c>
      <c r="E6" s="18">
        <v>1027845000</v>
      </c>
      <c r="F6" s="6" t="s">
        <v>92</v>
      </c>
    </row>
    <row r="7" spans="1:6" x14ac:dyDescent="0.25">
      <c r="A7" t="s">
        <v>93</v>
      </c>
      <c r="B7" s="18">
        <v>188759000</v>
      </c>
      <c r="C7" s="18">
        <v>179735000</v>
      </c>
      <c r="D7" s="18">
        <v>177572000</v>
      </c>
      <c r="E7" s="18">
        <v>163853000</v>
      </c>
      <c r="F7" s="6" t="s">
        <v>94</v>
      </c>
    </row>
    <row r="8" spans="1:6" x14ac:dyDescent="0.25">
      <c r="A8" t="s">
        <v>95</v>
      </c>
      <c r="B8" s="18">
        <v>270446000</v>
      </c>
      <c r="C8" s="18">
        <v>193571000</v>
      </c>
      <c r="D8" s="18">
        <v>193524000</v>
      </c>
      <c r="E8" s="18">
        <v>244286000</v>
      </c>
      <c r="F8" s="6" t="s">
        <v>96</v>
      </c>
    </row>
    <row r="9" spans="1:6" x14ac:dyDescent="0.25">
      <c r="A9" t="s">
        <v>97</v>
      </c>
      <c r="B9" s="18">
        <v>433446000</v>
      </c>
      <c r="C9" s="18">
        <v>229719000</v>
      </c>
      <c r="D9" s="18">
        <v>-173673000</v>
      </c>
      <c r="E9" s="18">
        <v>275730000</v>
      </c>
      <c r="F9" s="6" t="s">
        <v>98</v>
      </c>
    </row>
    <row r="10" spans="1:6" x14ac:dyDescent="0.25">
      <c r="A10" t="s">
        <v>99</v>
      </c>
      <c r="B10" s="18">
        <v>164835000</v>
      </c>
      <c r="C10" s="18">
        <v>134886000</v>
      </c>
      <c r="D10" s="18">
        <v>113035000</v>
      </c>
      <c r="E10" s="18">
        <v>114541000</v>
      </c>
      <c r="F10" s="6" t="s">
        <v>100</v>
      </c>
    </row>
    <row r="11" spans="1:6" x14ac:dyDescent="0.25">
      <c r="A11" t="s">
        <v>101</v>
      </c>
      <c r="B11" s="18">
        <v>2737848000</v>
      </c>
      <c r="C11" s="18">
        <v>2500738000</v>
      </c>
      <c r="D11" s="18">
        <v>1968070000</v>
      </c>
      <c r="E11" s="18">
        <v>1452482000</v>
      </c>
      <c r="F11" s="6" t="s">
        <v>102</v>
      </c>
    </row>
    <row r="12" spans="1:6" x14ac:dyDescent="0.25">
      <c r="A12" t="s">
        <v>34</v>
      </c>
      <c r="B12" s="34">
        <v>193616000</v>
      </c>
      <c r="C12" s="34">
        <v>193281000</v>
      </c>
      <c r="D12" s="34">
        <v>192058000</v>
      </c>
      <c r="E12" s="34">
        <v>193042000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