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<sst xmlns="http://schemas.openxmlformats.org/spreadsheetml/2006/main" count="113" uniqueCount="101">
  <si>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Garmin Ltd. (GRMN)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</si>
  <si>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</si>
  <si>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</si>
  <si>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</si>
  <si>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</si>
  <si>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</si>
  <si>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</si>
  <si>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</si>
  <si>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</si>
  <si>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</si>
  <si>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</si>
  <si>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</si>
  <si>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</si>
  <si>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</si>
  <si>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</si>
  <si>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</si>
  <si>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</si>
  <si>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</si>
  <si>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</si>
  <si>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</si>
  <si>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</si>
  <si>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</si>
  <si>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</si>
  <si>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</si>
  <si>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</si>
  <si>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</si>
  <si>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</si>
  <si>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</si>
  <si>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</si>
  <si>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</si>
  <si>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</si>
  <si>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</si>
  <si>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</si>
  <si>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</si>
  <si>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</si>
  <si>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</si>
  <si>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</si>
  <si>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</si>
  <si>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</si>
  <si>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</si>
  <si>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</si>
  <si>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</si>
  <si>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</si>
  <si>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</si>
  <si>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</si>
  <si>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</si>
  <si>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</si>
  <si>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</si>
  <si>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</si>
  <si>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</si>
  <si>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</si>
  <si>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</si>
  <si>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</si>
  <si>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</si>
  <si>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</si>
  <si>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</si>
  <si>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</si>
  <si>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</si>
  <si>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</si>
  <si>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</si>
  <si>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</si>
  <si>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</si>
  <si>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</si>
  <si>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</si>
  <si>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</si>
  <si>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</si>
  <si>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</si>
  <si>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</si>
  <si>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</si>
  <si>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</si>
  <si>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</si>
  <si>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</si>
  <si>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</si>
  <si>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</si>
  <si>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</si>
  <si>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</si>
  <si>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</si>
  <si>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</si>
  <si>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</si>
  <si>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</si>
  <si>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</si>
  <si>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</si>
  <si>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</si>
  <si>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</si>
  <si>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</si>
  <si>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</si>
  <si>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</si>
  <si>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</si>
  <si>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</si>
  <si>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</si>
  <si>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</si>
  <si>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</si>
  <si>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</si>
  <si>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</si>
  <si>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</si>
  <si>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</si>
  <si>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</si>
  <si>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</si>
  <si>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3.9% of revenue against depreciation of 3.1%. A perpetuity has to be a steady state, so the terminal year uses maintenance capex at depreciation and then charges the reinvestment terminal growth requires (g/ROIC of NOPAT). The bridge is shown under Terminal Value.</t>
  </si>
  <si>
    <t>Current EV/EBITDA of 24.4x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</si>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</sst>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0.14235886942453901</v>
      </c>
    </row>
    <row r="7" spans="1:2" x14ac:dyDescent="0.25">
      <c r="A7" t="s">
        <v>5</v>
      </c>
      <c r="B7" s="6">
        <v>0.23311065453140528</v>
      </c>
    </row>
    <row r="8" spans="1:2" x14ac:dyDescent="0.25">
      <c r="A8" t="s">
        <v>6</v>
      </c>
      <c r="B8" s="6">
        <v>0.16749134865438914</v>
      </c>
    </row>
    <row r="9" spans="1:2" x14ac:dyDescent="0.25">
      <c r="A9" t="s">
        <v>7</v>
      </c>
      <c r="B9" s="6">
        <v>0.03056794515852288</v>
      </c>
    </row>
    <row r="10" spans="1:2" x14ac:dyDescent="0.25">
      <c r="A10" t="s">
        <v>8</v>
      </c>
      <c r="B10" s="6">
        <v>0.038835833340332276</v>
      </c>
    </row>
    <row r="11" spans="1:2" x14ac:dyDescent="0.25">
      <c r="A11" t="s">
        <v>9</v>
      </c>
      <c r="B11" s="6">
        <v>0.2149616666245575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0.1534993994442455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0.91022</v>
      </c>
      <c r="C19" s="8" t="s">
        <v>19</v>
      </c>
    </row>
    <row r="20" spans="1:2" x14ac:dyDescent="0.25">
      <c r="A20" t="s">
        <v>20</v>
      </c>
      <c r="B20" s="10">
        <f>B17+B19*B18</f>
        <v>0.10004210000000001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52853166080</v>
      </c>
    </row>
    <row r="23" spans="1:2" x14ac:dyDescent="0.25">
      <c r="A23" t="s">
        <v>24</v>
      </c>
      <c r="B23" s="11">
        <v>164835000</v>
      </c>
    </row>
    <row r="24" spans="1:2" x14ac:dyDescent="0.25">
      <c r="A24" t="s">
        <v>25</v>
      </c>
      <c r="B24" s="10">
        <f>B22/(B22+B23)</f>
        <v>0.9968909616235573</v>
      </c>
    </row>
    <row r="25" spans="1:2" x14ac:dyDescent="0.25">
      <c r="A25" t="s">
        <v>26</v>
      </c>
      <c r="B25" s="10">
        <f>1-B24</f>
        <v>0.0031090383764427187</v>
      </c>
    </row>
    <row r="26" spans="1:2" x14ac:dyDescent="0.25">
      <c r="A26" t="s">
        <v>27</v>
      </c>
      <c r="B26" s="12">
        <f>B24*B20+B25*B21*(1-B8)</f>
        <v>0.09991219460001595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7245519000</v>
      </c>
      <c r="C29" s="8" t="s">
        <v>30</v>
      </c>
    </row>
    <row r="30" spans="1:2" x14ac:dyDescent="0.25">
      <c r="A30" t="s">
        <v>31</v>
      </c>
      <c r="B30" s="11">
        <v>-2573013000</v>
      </c>
    </row>
    <row r="31" spans="1:2" x14ac:dyDescent="0.25">
      <c r="A31" t="s">
        <v>32</v>
      </c>
      <c r="B31" s="13">
        <v>193616000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0.14235886942453901</v>
      </c>
      <c r="C5" s="10">
        <f>Assumptions!B6</f>
        <v>0.14235886942453901</v>
      </c>
      <c r="D5" s="10">
        <f>Assumptions!B6</f>
        <v>0.14235886942453901</v>
      </c>
      <c r="E5" s="10">
        <f>Assumptions!B6</f>
        <v>0.14235886942453901</v>
      </c>
      <c r="F5" s="10">
        <f>Assumptions!B6</f>
        <v>0.14235886942453901</v>
      </c>
    </row>
    <row r="6" spans="1:6" x14ac:dyDescent="0.25">
      <c r="A6" t="s">
        <v>43</v>
      </c>
      <c r="B6" s="18">
        <f>Assumptions!B29*(1+B5)</f>
        <v>8276982893.234016</v>
      </c>
      <c r="C6" s="18">
        <f>B6*(1+C5)</f>
        <v>9455284820.16106</v>
      </c>
      <c r="D6" s="18">
        <f>C6*(1+D5)</f>
        <v>10801328477.246195</v>
      </c>
      <c r="E6" s="18">
        <f>D6*(1+E5)</f>
        <v>12338993387.550041</v>
      </c>
      <c r="F6" s="18">
        <f>E6*(1+F5)</f>
        <v>14095558536.038528</v>
      </c>
    </row>
    <row r="7" spans="1:6" x14ac:dyDescent="0.25">
      <c r="A7" t="s">
        <v>5</v>
      </c>
      <c r="B7" s="10">
        <f>Assumptions!B7</f>
        <v>0.23311065453140528</v>
      </c>
      <c r="C7" s="10">
        <f>Assumptions!B7</f>
        <v>0.23311065453140528</v>
      </c>
      <c r="D7" s="10">
        <f>Assumptions!B7</f>
        <v>0.23311065453140528</v>
      </c>
      <c r="E7" s="10">
        <f>Assumptions!B7</f>
        <v>0.23311065453140528</v>
      </c>
      <c r="F7" s="10">
        <f>Assumptions!B7</f>
        <v>0.23311065453140528</v>
      </c>
    </row>
    <row r="8" spans="1:6" x14ac:dyDescent="0.25">
      <c r="A8" t="s">
        <v>44</v>
      </c>
      <c r="B8" s="18">
        <f>B6*B7</f>
        <v>1929452899.7870262</v>
      </c>
      <c r="C8" s="18">
        <f>C6*C7</f>
        <v>2204127633.2086053</v>
      </c>
      <c r="D8" s="18">
        <f>D6*D7</f>
        <v>2517904751.1395674</v>
      </c>
      <c r="E8" s="18">
        <f>E6*E7</f>
        <v>2876350824.830472</v>
      </c>
      <c r="F8" s="18">
        <f>F6*F7</f>
        <v>3285824876.321678</v>
      </c>
    </row>
    <row r="9" spans="1:6" x14ac:dyDescent="0.25">
      <c r="A9" t="s">
        <v>45</v>
      </c>
      <c r="B9" s="18">
        <f>B8*(1-Assumptions!B8)</f>
        <v>1606286231.4365752</v>
      </c>
      <c r="C9" s="18">
        <f>C8*(1-Assumptions!B8)</f>
        <v>1834955323.3160892</v>
      </c>
      <c r="D9" s="18">
        <f>D8*(1-Assumptions!B8)</f>
        <v>2096177488.587907</v>
      </c>
      <c r="E9" s="18">
        <f>E8*(1-Assumptions!B8)</f>
        <v>2394586945.9764514</v>
      </c>
      <c r="F9" s="18">
        <f>F8*(1-Assumptions!B8)</f>
        <v>2735477636.3444185</v>
      </c>
    </row>
    <row r="10" spans="1:6" x14ac:dyDescent="0.25">
      <c r="A10" t="s">
        <v>46</v>
      </c>
      <c r="B10" s="18">
        <f>B6*Assumptions!B9</f>
        <v>253010359.15840948</v>
      </c>
      <c r="C10" s="18">
        <f>C6*Assumptions!B9</f>
        <v>289028627.8408972</v>
      </c>
      <c r="D10" s="18">
        <f>D6*Assumptions!B9</f>
        <v>330174416.53165317</v>
      </c>
      <c r="E10" s="18">
        <f>E6*Assumptions!B9</f>
        <v>377177673.1820061</v>
      </c>
      <c r="F10" s="18">
        <f>F6*Assumptions!B9</f>
        <v>430872260.3083748</v>
      </c>
    </row>
    <row r="11" spans="1:6" x14ac:dyDescent="0.25">
      <c r="A11" t="s">
        <v>47</v>
      </c>
      <c r="B11" s="18">
        <f>-B6*Assumptions!B10</f>
        <v>-321443528.2024175</v>
      </c>
      <c r="C11" s="18">
        <f>-C6*Assumptions!B10</f>
        <v>-367203865.46114856</v>
      </c>
      <c r="D11" s="18">
        <f>-D6*Assumptions!B10</f>
        <v>-419478592.5965182</v>
      </c>
      <c r="E11" s="18">
        <f>-E6*Assumptions!B10</f>
        <v>-479195090.7863554</v>
      </c>
      <c r="F11" s="18">
        <f>-F6*Assumptions!B10</f>
        <v>-547412762.1444902</v>
      </c>
    </row>
    <row r="12" spans="1:6" x14ac:dyDescent="0.25">
      <c r="A12" t="s">
        <v>48</v>
      </c>
      <c r="B12" s="18">
        <f>-(B6-Assumptions!B29)*Assumptions!B11</f>
        <v>-221725197.55263883</v>
      </c>
      <c r="C12" s="18">
        <f>-(C6-B6)*Assumptions!B11</f>
        <v>-253289745.99916494</v>
      </c>
      <c r="D12" s="18">
        <f>-(D6-C6)*Assumptions!B11</f>
        <v>-289347787.8764349</v>
      </c>
      <c r="E12" s="18">
        <f>-(E6-D6)*Assumptions!B11</f>
        <v>-330539011.82901555</v>
      </c>
      <c r="F12" s="18">
        <f>-(F6-E6)*Assumptions!B11</f>
        <v>-377594171.85369855</v>
      </c>
    </row>
    <row r="13" spans="1:6" x14ac:dyDescent="0.25">
      <c r="A13" s="19" t="s">
        <v>49</v>
      </c>
      <c r="B13" s="20">
        <f>B9+B10+B11+B12</f>
        <v>1316127864.8399284</v>
      </c>
      <c r="C13" s="20">
        <f>C9+C10+C11+C12</f>
        <v>1503490339.696673</v>
      </c>
      <c r="D13" s="20">
        <f>D9+D10+D11+D12</f>
        <v>1717525524.646607</v>
      </c>
      <c r="E13" s="20">
        <f>E9+E10+E11+E12</f>
        <v>1962030516.5430868</v>
      </c>
      <c r="F13" s="20">
        <f>F9+F10+F11+F12</f>
        <v>2241342962.6546044</v>
      </c>
    </row>
    <row r="14" spans="1:6" x14ac:dyDescent="0.25">
      <c r="A14" t="s">
        <v>50</v>
      </c>
      <c r="B14" s="21">
        <f>1/(1+Assumptions!$B$26)^(1-0.5*Assumptions!$B$32)</f>
        <v>0.9535006456894077</v>
      </c>
      <c r="C14" s="21">
        <f>1/(1+Assumptions!$B$26)^(2-0.5*Assumptions!$B$32)</f>
        <v>0.8668879664854967</v>
      </c>
      <c r="D14" s="21">
        <f>1/(1+Assumptions!$B$26)^(3-0.5*Assumptions!$B$32)</f>
        <v>0.7881428815331403</v>
      </c>
      <c r="E14" s="21">
        <f>1/(1+Assumptions!$B$26)^(4-0.5*Assumptions!$B$32)</f>
        <v>0.7165507259602202</v>
      </c>
      <c r="F14" s="21">
        <f>1/(1+Assumptions!$B$26)^(5-0.5*Assumptions!$B$32)</f>
        <v>0.6514617525636167</v>
      </c>
    </row>
    <row r="15" spans="1:6" x14ac:dyDescent="0.25">
      <c r="A15" s="19" t="s">
        <v>51</v>
      </c>
      <c r="B15" s="20">
        <f>B13*B14</f>
        <v>1254928768.9346933</v>
      </c>
      <c r="C15" s="20">
        <f>C13*C14</f>
        <v>1303357683.2102375</v>
      </c>
      <c r="D15" s="20">
        <f>D13*D14</f>
        <v>1353655516.1016953</v>
      </c>
      <c r="E15" s="20">
        <f>E13*E14</f>
        <v>1405894390.9850547</v>
      </c>
      <c r="F15" s="20">
        <f>F13*F14</f>
        <v>1460149214.5470974</v>
      </c>
    </row>
    <row r="17" spans="1:2" x14ac:dyDescent="0.25">
      <c r="A17" s="22" t="s">
        <v>52</v>
      </c>
      <c r="B17" s="23">
        <f>SUM(B15:F15)</f>
        <v>6777985573.778778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2241342962.6546044</v>
      </c>
    </row>
    <row r="5" spans="1:2" x14ac:dyDescent="0.25">
      <c r="A5" t="s">
        <v>56</v>
      </c>
      <c r="B5" s="18">
        <f>IF(Assumptions!$B$33=0,B4,B4-Forecast!F11-Forecast!F10-Forecast!F12)</f>
        <v>2821000746.3991194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0.1628670867150889</v>
      </c>
    </row>
    <row r="7" spans="1:2" x14ac:dyDescent="0.25">
      <c r="A7" t="s">
        <v>58</v>
      </c>
      <c r="B7" s="18">
        <f>-MAX(Forecast!F9,0)*B6</f>
        <v>-459448173.1871159</v>
      </c>
    </row>
    <row r="8" spans="1:2" x14ac:dyDescent="0.25">
      <c r="A8" t="s">
        <v>59</v>
      </c>
      <c r="B8" s="18">
        <f>IF(OR(Assumptions!$B$33=0,Assumptions!B12&lt;=0),B5,MAX(B5+B7,0))</f>
        <v>2361552573.2120037</v>
      </c>
    </row>
    <row r="9" spans="1:2" x14ac:dyDescent="0.25">
      <c r="A9" t="s">
        <v>60</v>
      </c>
      <c r="B9" s="18">
        <f>B8*(1+Assumptions!B12)/(Assumptions!B26-Assumptions!B12)</f>
        <v>32312381187.959328</v>
      </c>
    </row>
    <row r="10" spans="1:2" x14ac:dyDescent="0.25">
      <c r="A10" t="s">
        <v>61</v>
      </c>
      <c r="B10" s="18">
        <f>B9/(1+Assumptions!B26)^(5-0.5*Assumptions!B32)</f>
        <v>21050280478.211624</v>
      </c>
    </row>
    <row r="11" spans="1:2" x14ac:dyDescent="0.25">
      <c r="A11" t="s">
        <v>62</v>
      </c>
      <c r="B11" s="18">
        <f>Forecast!B17+B10</f>
        <v>27828266051.990402</v>
      </c>
    </row>
    <row r="12" spans="1:2" x14ac:dyDescent="0.25">
      <c r="A12" t="s">
        <v>63</v>
      </c>
      <c r="B12" s="18">
        <f>-Assumptions!B30</f>
        <v>2573013000</v>
      </c>
    </row>
    <row r="13" spans="1:2" x14ac:dyDescent="0.25">
      <c r="A13" t="s">
        <v>64</v>
      </c>
      <c r="B13" s="18">
        <f>B11+B12</f>
        <v>30401279051.990402</v>
      </c>
    </row>
    <row r="14" spans="1:2" x14ac:dyDescent="0.25">
      <c r="A14" s="19" t="s">
        <v>65</v>
      </c>
      <c r="B14" s="24">
        <f>B13/Assumptions!B31</f>
        <v>157.01842333273285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3716697136.630053</v>
      </c>
    </row>
    <row r="18" spans="1:2" x14ac:dyDescent="0.25">
      <c r="A18" t="s">
        <v>60</v>
      </c>
      <c r="B18" s="18">
        <f>B17*Assumptions!B13</f>
        <v>74333942732.60106</v>
      </c>
    </row>
    <row r="19" spans="1:2" x14ac:dyDescent="0.25">
      <c r="A19" t="s">
        <v>61</v>
      </c>
      <c r="B19" s="18">
        <f>B18/(1+Assumptions!B26)^(5-0.5*Assumptions!B32)</f>
        <v>48425720607.54381</v>
      </c>
    </row>
    <row r="20" spans="1:2" x14ac:dyDescent="0.25">
      <c r="A20" t="s">
        <v>62</v>
      </c>
      <c r="B20" s="18">
        <f>Forecast!B17+B19</f>
        <v>55203706181.322586</v>
      </c>
    </row>
    <row r="21" spans="1:2" x14ac:dyDescent="0.25">
      <c r="A21" t="s">
        <v>63</v>
      </c>
      <c r="B21" s="18">
        <f>-Assumptions!B30</f>
        <v>2573013000</v>
      </c>
    </row>
    <row r="22" spans="1:2" x14ac:dyDescent="0.25">
      <c r="A22" t="s">
        <v>64</v>
      </c>
      <c r="B22" s="18">
        <f>B20+B21</f>
        <v>57776719181.322586</v>
      </c>
    </row>
    <row r="23" spans="1:2" x14ac:dyDescent="0.25">
      <c r="A23" s="19" t="s">
        <v>65</v>
      </c>
      <c r="B23" s="25">
        <f>B22/Assumptions!B31</f>
        <v>298.408804960967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274.06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157.01842333273285</v>
      </c>
    </row>
    <row r="29" spans="1:2" x14ac:dyDescent="0.25">
      <c r="A29" s="19" t="s">
        <v>73</v>
      </c>
      <c r="B29" s="12">
        <f>B28/B26-1</f>
        <v>-0.427065520934347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0.079912</v>
      </c>
      <c r="B5" s="31">
        <v>195.4475845939447</v>
      </c>
      <c r="C5" s="31">
        <v>202.64506512105237</v>
      </c>
      <c r="D5" s="31">
        <v>211.09212368121194</v>
      </c>
      <c r="E5" s="31">
        <v>221.16429462479587</v>
      </c>
      <c r="F5" s="31">
        <v>233.40434348777148</v>
      </c>
    </row>
    <row r="6" spans="1:6" x14ac:dyDescent="0.25">
      <c r="A6" s="30">
        <v>0.089912</v>
      </c>
      <c r="B6" s="31">
        <v>170.0412754158011</v>
      </c>
      <c r="C6" s="31">
        <v>174.62650693108853</v>
      </c>
      <c r="D6" s="31">
        <v>179.868485626166</v>
      </c>
      <c r="E6" s="31">
        <v>185.93163945698322</v>
      </c>
      <c r="F6" s="31">
        <v>193.04028418395853</v>
      </c>
    </row>
    <row r="7" spans="1:6" x14ac:dyDescent="0.25">
      <c r="A7" s="30">
        <v>0.099912</v>
      </c>
      <c r="B7" s="31">
        <v>150.67057461453516</v>
      </c>
      <c r="C7" s="31">
        <v>153.66543585145826</v>
      </c>
      <c r="D7" s="32">
        <v>157.01880827339278</v>
      </c>
      <c r="E7" s="31">
        <v>160.8076124057876</v>
      </c>
      <c r="F7" s="31">
        <v>165.1324687141484</v>
      </c>
    </row>
    <row r="8" spans="1:6" x14ac:dyDescent="0.25">
      <c r="A8" s="30">
        <v>0.109912</v>
      </c>
      <c r="B8" s="31">
        <v>135.42534368411432</v>
      </c>
      <c r="C8" s="31">
        <v>137.4050062148841</v>
      </c>
      <c r="D8" s="31">
        <v>139.58285269199774</v>
      </c>
      <c r="E8" s="31">
        <v>141.99608352584616</v>
      </c>
      <c r="F8" s="31">
        <v>144.6918308895261</v>
      </c>
    </row>
    <row r="9" spans="1:6" x14ac:dyDescent="0.25">
      <c r="A9" s="30">
        <v>0.119912</v>
      </c>
      <c r="B9" s="31">
        <v>123.12385769154419</v>
      </c>
      <c r="C9" s="31">
        <v>124.43205123334786</v>
      </c>
      <c r="D9" s="31">
        <v>125.84803864728063</v>
      </c>
      <c r="E9" s="31">
        <v>127.38980316229902</v>
      </c>
      <c r="F9" s="31">
        <v>129.07956374057898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7245519000</v>
      </c>
      <c r="C5" s="18">
        <v>6296903000</v>
      </c>
      <c r="D5" s="18">
        <v>5228252000</v>
      </c>
      <c r="E5" s="18">
        <v>4860286000</v>
      </c>
      <c r="F5" s="8" t="s">
        <v>84</v>
      </c>
    </row>
    <row r="6" spans="1:6" x14ac:dyDescent="0.25">
      <c r="A6" t="s">
        <v>44</v>
      </c>
      <c r="B6" s="18">
        <v>1876076000</v>
      </c>
      <c r="C6" s="18">
        <v>1593994000</v>
      </c>
      <c r="D6" s="18">
        <v>1092160000</v>
      </c>
      <c r="E6" s="18">
        <v>1027845000</v>
      </c>
      <c r="F6" s="8" t="s">
        <v>85</v>
      </c>
    </row>
    <row r="7" spans="1:6" x14ac:dyDescent="0.25">
      <c r="A7" t="s">
        <v>86</v>
      </c>
      <c r="B7" s="18">
        <v>188759000</v>
      </c>
      <c r="C7" s="18">
        <v>179735000</v>
      </c>
      <c r="D7" s="18">
        <v>177572000</v>
      </c>
      <c r="E7" s="18">
        <v>163853000</v>
      </c>
      <c r="F7" s="8" t="s">
        <v>87</v>
      </c>
    </row>
    <row r="8" spans="1:6" x14ac:dyDescent="0.25">
      <c r="A8" t="s">
        <v>88</v>
      </c>
      <c r="B8" s="18">
        <v>270446000</v>
      </c>
      <c r="C8" s="18">
        <v>193571000</v>
      </c>
      <c r="D8" s="18">
        <v>193524000</v>
      </c>
      <c r="E8" s="18">
        <v>244286000</v>
      </c>
      <c r="F8" s="8" t="s">
        <v>89</v>
      </c>
    </row>
    <row r="9" spans="1:6" x14ac:dyDescent="0.25">
      <c r="A9" t="s">
        <v>90</v>
      </c>
      <c r="B9" s="18">
        <v>433446000</v>
      </c>
      <c r="C9" s="18">
        <v>229719000</v>
      </c>
      <c r="D9" s="18">
        <v>-173673000</v>
      </c>
      <c r="E9" s="18">
        <v>275730000</v>
      </c>
      <c r="F9" s="8" t="s">
        <v>91</v>
      </c>
    </row>
    <row r="10" spans="1:6" x14ac:dyDescent="0.25">
      <c r="A10" t="s">
        <v>92</v>
      </c>
      <c r="B10" s="18">
        <v>164835000</v>
      </c>
      <c r="C10" s="18">
        <v>134886000</v>
      </c>
      <c r="D10" s="18">
        <v>113035000</v>
      </c>
      <c r="E10" s="18">
        <v>114541000</v>
      </c>
      <c r="F10" s="8" t="s">
        <v>93</v>
      </c>
    </row>
    <row r="11" spans="1:6" x14ac:dyDescent="0.25">
      <c r="A11" t="s">
        <v>94</v>
      </c>
      <c r="B11" s="18">
        <v>2737848000</v>
      </c>
      <c r="C11" s="18">
        <v>2500738000</v>
      </c>
      <c r="D11" s="18">
        <v>1968070000</v>
      </c>
      <c r="E11" s="18">
        <v>1452482000</v>
      </c>
      <c r="F11" s="8" t="s">
        <v>95</v>
      </c>
    </row>
    <row r="12" spans="1:6" x14ac:dyDescent="0.25">
      <c r="A12" t="s">
        <v>32</v>
      </c>
      <c r="B12" s="34">
        <v>193616000</v>
      </c>
      <c r="C12" s="34">
        <v>193281000</v>
      </c>
      <c r="D12" s="34">
        <v>192058000</v>
      </c>
      <c r="E12" s="34">
        <v>193042000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2026-09-19T01:05:21Z</dcterms:modified>
</cp:coreProperties>
</file>