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<sst xmlns="http://schemas.openxmlformats.org/spreadsheetml/2006/main" count="114" uniqueCount="102">
  <si>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The Goldman Sachs Group, Inc. (GS)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</si>
  <si>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</si>
  <si>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</si>
  <si>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</si>
  <si>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</si>
  <si>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</si>
  <si>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</si>
  <si>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</si>
  <si>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</si>
  <si>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</si>
  <si>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</si>
  <si>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</si>
  <si>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</si>
  <si>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</si>
  <si>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</si>
  <si>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</si>
  <si>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</si>
  <si>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</si>
  <si>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</si>
  <si>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</si>
  <si>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</si>
  <si>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</si>
  <si>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18.3%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</si>
  <si>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</si>
  <si>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</si>
  <si>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</si>
  <si>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</si>
  <si>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</si>
  <si>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</si>
  <si>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</si>
  <si>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</si>
  <si>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</si>
  <si>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</si>
  <si>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</si>
  <si>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</si>
  <si>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</si>
  <si>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</si>
  <si>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</si>
  <si>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</si>
  <si>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</si>
  <si>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</si>
  <si>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</si>
  <si>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</si>
  <si>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</si>
  <si>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</si>
  <si>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</si>
  <si>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</si>
  <si>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</si>
  <si>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</si>
  <si>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</si>
  <si>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</si>
  <si>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</si>
  <si>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</si>
  <si>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</si>
  <si>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</si>
  <si>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</si>
  <si>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</si>
  <si>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</si>
  <si>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</si>
  <si>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</si>
  <si>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</si>
  <si>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</si>
  <si>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</si>
  <si>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</si>
  <si>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</si>
  <si>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</si>
  <si>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</si>
  <si>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</si>
  <si>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</si>
  <si>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</si>
  <si>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</si>
  <si>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</si>
  <si>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</si>
  <si>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</si>
  <si>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</si>
  <si>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</si>
  <si>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</si>
  <si>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</si>
  <si>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</si>
  <si>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</si>
  <si>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</si>
  <si>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</si>
  <si>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</si>
  <si>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</si>
  <si>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</si>
  <si>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</si>
  <si>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</si>
  <si>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</si>
  <si>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</si>
  <si>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</si>
  <si>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</si>
  <si>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</si>
  <si>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</si>
  <si>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</si>
  <si>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</si>
  <si>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</si>
  <si>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</si>
  <si>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</si>
  <si>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</si>
  <si>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model values the shares at 4.8%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</si>
  <si>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20.6x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</si>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</sst>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0.07158868405111818</v>
      </c>
    </row>
    <row r="7" spans="1:2" x14ac:dyDescent="0.25">
      <c r="A7" t="s">
        <v>5</v>
      </c>
      <c r="B7" s="6">
        <v>0.3089051984607048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0.05973882700680609</v>
      </c>
    </row>
    <row r="10" spans="1:2" x14ac:dyDescent="0.25">
      <c r="A10" t="s">
        <v>8</v>
      </c>
      <c r="B10" s="6">
        <v>0.050922566506726476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0.08025433743921148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1.18961</v>
      </c>
      <c r="C19" s="8" t="s">
        <v>19</v>
      </c>
    </row>
    <row r="20" spans="1:2" x14ac:dyDescent="0.25">
      <c r="A20" t="s">
        <v>20</v>
      </c>
      <c r="B20" s="10">
        <f>B17+B19*B18</f>
        <v>0.11540855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274283446272</v>
      </c>
    </row>
    <row r="23" spans="1:2" x14ac:dyDescent="0.25">
      <c r="A23" t="s">
        <v>24</v>
      </c>
      <c r="B23" s="11">
        <v>386150000000</v>
      </c>
    </row>
    <row r="24" spans="1:2" x14ac:dyDescent="0.25">
      <c r="A24" t="s">
        <v>25</v>
      </c>
      <c r="B24" s="10">
        <f>B22/(B22+B23)</f>
        <v>0.41530823101142</v>
      </c>
    </row>
    <row r="25" spans="1:2" x14ac:dyDescent="0.25">
      <c r="A25" t="s">
        <v>26</v>
      </c>
      <c r="B25" s="10">
        <f>1-B24</f>
        <v>0.58469176898858</v>
      </c>
    </row>
    <row r="26" spans="1:2" x14ac:dyDescent="0.25">
      <c r="A26" t="s">
        <v>27</v>
      </c>
      <c r="B26" s="12">
        <f>B24*B20+B25*B21*(1-B8)</f>
        <v>0.08025433743921148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58283000000</v>
      </c>
      <c r="C29" s="8" t="s">
        <v>30</v>
      </c>
    </row>
    <row r="30" spans="1:2" x14ac:dyDescent="0.25">
      <c r="A30" t="s">
        <v>31</v>
      </c>
      <c r="B30" s="11">
        <v>221891000000</v>
      </c>
    </row>
    <row r="31" spans="1:2" x14ac:dyDescent="0.25">
      <c r="A31" t="s">
        <v>32</v>
      </c>
      <c r="B31" s="13">
        <v>317600000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0.07158868405111818</v>
      </c>
      <c r="C5" s="10">
        <f>Assumptions!B6</f>
        <v>0.07158868405111818</v>
      </c>
      <c r="D5" s="10">
        <f>Assumptions!B6</f>
        <v>0.07158868405111818</v>
      </c>
      <c r="E5" s="10">
        <f>Assumptions!B6</f>
        <v>0.07158868405111818</v>
      </c>
      <c r="F5" s="10">
        <f>Assumptions!B6</f>
        <v>0.07158868405111818</v>
      </c>
    </row>
    <row r="6" spans="1:6" x14ac:dyDescent="0.25">
      <c r="A6" t="s">
        <v>43</v>
      </c>
      <c r="B6" s="18">
        <f>Assumptions!B29*(1+B5)</f>
        <v>62455403272.55132</v>
      </c>
      <c r="C6" s="18">
        <f>B6*(1+C5)</f>
        <v>66926503404.71517</v>
      </c>
      <c r="D6" s="18">
        <f>C6*(1+D5)</f>
        <v>71717683711.60141</v>
      </c>
      <c r="E6" s="18">
        <f>D6*(1+E5)</f>
        <v>76851858311.70927</v>
      </c>
      <c r="F6" s="18">
        <f>E6*(1+F5)</f>
        <v>82353581715.12753</v>
      </c>
    </row>
    <row r="7" spans="1:6" x14ac:dyDescent="0.25">
      <c r="A7" t="s">
        <v>5</v>
      </c>
      <c r="B7" s="10">
        <f>Assumptions!B7</f>
        <v>0.3089051984607048</v>
      </c>
      <c r="C7" s="10">
        <f>Assumptions!B7</f>
        <v>0.3089051984607048</v>
      </c>
      <c r="D7" s="10">
        <f>Assumptions!B7</f>
        <v>0.3089051984607048</v>
      </c>
      <c r="E7" s="10">
        <f>Assumptions!B7</f>
        <v>0.3089051984607048</v>
      </c>
      <c r="F7" s="10">
        <f>Assumptions!B7</f>
        <v>0.3089051984607048</v>
      </c>
    </row>
    <row r="8" spans="1:6" x14ac:dyDescent="0.25">
      <c r="A8" t="s">
        <v>44</v>
      </c>
      <c r="B8" s="18">
        <f>B6*B7</f>
        <v>19292798742.85082</v>
      </c>
      <c r="C8" s="18">
        <f>C6*C7</f>
        <v>20673944816.514576</v>
      </c>
      <c r="D8" s="18">
        <f>D6*D7</f>
        <v>22153965320.07429</v>
      </c>
      <c r="E8" s="18">
        <f>E6*E7</f>
        <v>23739938543.85252</v>
      </c>
      <c r="F8" s="18">
        <f>F6*F7</f>
        <v>25439449503.66134</v>
      </c>
    </row>
    <row r="9" spans="1:6" x14ac:dyDescent="0.25">
      <c r="A9" t="s">
        <v>45</v>
      </c>
      <c r="B9" s="18">
        <f>B8*(1-Assumptions!B8)</f>
        <v>15241311006.852148</v>
      </c>
      <c r="C9" s="18">
        <f>C8*(1-Assumptions!B8)</f>
        <v>16332416405.046516</v>
      </c>
      <c r="D9" s="18">
        <f>D8*(1-Assumptions!B8)</f>
        <v>17501632602.858692</v>
      </c>
      <c r="E9" s="18">
        <f>E8*(1-Assumptions!B8)</f>
        <v>18754551449.64349</v>
      </c>
      <c r="F9" s="18">
        <f>F8*(1-Assumptions!B8)</f>
        <v>20097165107.89246</v>
      </c>
    </row>
    <row r="10" spans="1:6" x14ac:dyDescent="0.25">
      <c r="A10" t="s">
        <v>46</v>
      </c>
      <c r="B10" s="18">
        <f>B6*Assumptions!B9</f>
        <v>3731012531.7392545</v>
      </c>
      <c r="C10" s="18">
        <f>C6*Assumptions!B9</f>
        <v>3998110809.0646987</v>
      </c>
      <c r="D10" s="18">
        <f>D6*Assumptions!B9</f>
        <v>4284330300.5761914</v>
      </c>
      <c r="E10" s="18">
        <f>E6*Assumptions!B9</f>
        <v>4591039868.834773</v>
      </c>
      <c r="F10" s="18">
        <f>F6*Assumptions!B9</f>
        <v>4919706371.470873</v>
      </c>
    </row>
    <row r="11" spans="1:6" x14ac:dyDescent="0.25">
      <c r="A11" t="s">
        <v>47</v>
      </c>
      <c r="B11" s="18">
        <f>-B6*Assumptions!B10</f>
        <v>-3180389426.8509173</v>
      </c>
      <c r="C11" s="18">
        <f>-C6*Assumptions!B10</f>
        <v>-3408069320.6892643</v>
      </c>
      <c r="D11" s="18">
        <f>-D6*Assumptions!B10</f>
        <v>-3652048518.512397</v>
      </c>
      <c r="E11" s="18">
        <f>-E6*Assumptions!B10</f>
        <v>-3913493866.043535</v>
      </c>
      <c r="F11" s="18">
        <f>-F6*Assumptions!B10</f>
        <v>-4193655741.955715</v>
      </c>
    </row>
    <row r="12" spans="1:6" x14ac:dyDescent="0.25">
      <c r="A12" t="s">
        <v>48</v>
      </c>
      <c r="B12" s="18">
        <f>-(B6-Assumptions!B29)*Assumptions!B11</f>
        <v>-4172403272.551323</v>
      </c>
      <c r="C12" s="18">
        <f>-(C6-B6)*Assumptions!B11</f>
        <v>-4471100132.163849</v>
      </c>
      <c r="D12" s="18">
        <f>-(D6-C6)*Assumptions!B11</f>
        <v>-4791180306.886238</v>
      </c>
      <c r="E12" s="18">
        <f>-(E6-D6)*Assumptions!B11</f>
        <v>-5134174600.107864</v>
      </c>
      <c r="F12" s="18">
        <f>-(F6-E6)*Assumptions!B11</f>
        <v>-5501723403.418259</v>
      </c>
    </row>
    <row r="13" spans="1:6" x14ac:dyDescent="0.25">
      <c r="A13" s="19" t="s">
        <v>49</v>
      </c>
      <c r="B13" s="20">
        <f>B9+B10+B11+B12</f>
        <v>11619530839.189163</v>
      </c>
      <c r="C13" s="20">
        <f>C9+C10+C11+C12</f>
        <v>12451357761.2581</v>
      </c>
      <c r="D13" s="20">
        <f>D9+D10+D11+D12</f>
        <v>13342734078.036247</v>
      </c>
      <c r="E13" s="20">
        <f>E9+E10+E11+E12</f>
        <v>14297922852.326866</v>
      </c>
      <c r="F13" s="20">
        <f>F9+F10+F11+F12</f>
        <v>15321492333.98936</v>
      </c>
    </row>
    <row r="14" spans="1:6" x14ac:dyDescent="0.25">
      <c r="A14" t="s">
        <v>50</v>
      </c>
      <c r="B14" s="21">
        <f>1/(1+Assumptions!$B$26)^(1-0.5*Assumptions!$B$32)</f>
        <v>0.9621371648080084</v>
      </c>
      <c r="C14" s="21">
        <f>1/(1+Assumptions!$B$26)^(2-0.5*Assumptions!$B$32)</f>
        <v>0.8906579973460649</v>
      </c>
      <c r="D14" s="21">
        <f>1/(1+Assumptions!$B$26)^(3-0.5*Assumptions!$B$32)</f>
        <v>0.8244891656324262</v>
      </c>
      <c r="E14" s="21">
        <f>1/(1+Assumptions!$B$26)^(4-0.5*Assumptions!$B$32)</f>
        <v>0.7632361537995882</v>
      </c>
      <c r="F14" s="21">
        <f>1/(1+Assumptions!$B$26)^(5-0.5*Assumptions!$B$32)</f>
        <v>0.706533755382896</v>
      </c>
    </row>
    <row r="15" spans="1:6" x14ac:dyDescent="0.25">
      <c r="A15" s="19" t="s">
        <v>51</v>
      </c>
      <c r="B15" s="20">
        <f>B13*B14</f>
        <v>11179582458.01668</v>
      </c>
      <c r="C15" s="20">
        <f>C13*C14</f>
        <v>11089901367.881521</v>
      </c>
      <c r="D15" s="20">
        <f>D13*D14</f>
        <v>11000939687.255445</v>
      </c>
      <c r="E15" s="20">
        <f>E13*E14</f>
        <v>10912691645.133194</v>
      </c>
      <c r="F15" s="20">
        <f>F13*F14</f>
        <v>10825151516.803755</v>
      </c>
    </row>
    <row r="17" spans="1:2" x14ac:dyDescent="0.25">
      <c r="A17" s="22" t="s">
        <v>52</v>
      </c>
      <c r="B17" s="23">
        <f>SUM(B15:F15)</f>
        <v>55008266675.0906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15321492333.98936</v>
      </c>
    </row>
    <row r="5" spans="1:2" x14ac:dyDescent="0.25">
      <c r="A5" t="s">
        <v>56</v>
      </c>
      <c r="B5" s="18">
        <f>IF(Assumptions!$B$33=0,B4,B4-Forecast!F11-Forecast!F10-Forecast!F12)</f>
        <v>20097165107.89246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0.31150964293906497</v>
      </c>
    </row>
    <row r="7" spans="1:2" x14ac:dyDescent="0.25">
      <c r="A7" t="s">
        <v>58</v>
      </c>
      <c r="B7" s="18">
        <f>-MAX(Forecast!F9,0)*B6</f>
        <v>-6260460726.847015</v>
      </c>
    </row>
    <row r="8" spans="1:2" x14ac:dyDescent="0.25">
      <c r="A8" t="s">
        <v>59</v>
      </c>
      <c r="B8" s="18">
        <f>IF(OR(Assumptions!$B$33=0,Assumptions!B12&lt;=0),B5,MAX(B5+B7,0))</f>
        <v>13836704381.045444</v>
      </c>
    </row>
    <row r="9" spans="1:2" x14ac:dyDescent="0.25">
      <c r="A9" t="s">
        <v>60</v>
      </c>
      <c r="B9" s="18">
        <f>B8*(1+Assumptions!B12)/(Assumptions!B26-Assumptions!B12)</f>
        <v>256678889800.72757</v>
      </c>
    </row>
    <row r="10" spans="1:2" x14ac:dyDescent="0.25">
      <c r="A10" t="s">
        <v>61</v>
      </c>
      <c r="B10" s="18">
        <f>B9/(1+Assumptions!B26)^(5-0.5*Assumptions!B32)</f>
        <v>181352299938.42056</v>
      </c>
    </row>
    <row r="11" spans="1:2" x14ac:dyDescent="0.25">
      <c r="A11" t="s">
        <v>62</v>
      </c>
      <c r="B11" s="18">
        <f>Forecast!B17+B10</f>
        <v>236360566613.51117</v>
      </c>
    </row>
    <row r="12" spans="1:2" x14ac:dyDescent="0.25">
      <c r="A12" t="s">
        <v>63</v>
      </c>
      <c r="B12" s="18">
        <f>-Assumptions!B30</f>
        <v>-221891000000</v>
      </c>
    </row>
    <row r="13" spans="1:2" x14ac:dyDescent="0.25">
      <c r="A13" t="s">
        <v>64</v>
      </c>
      <c r="B13" s="18">
        <f>B11+B12</f>
        <v>14469566613.51117</v>
      </c>
    </row>
    <row r="14" spans="1:2" x14ac:dyDescent="0.25">
      <c r="A14" s="19" t="s">
        <v>65</v>
      </c>
      <c r="B14" s="24">
        <f>B13/Assumptions!B31</f>
        <v>45.55908883347345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30359155875.13221</v>
      </c>
    </row>
    <row r="18" spans="1:2" x14ac:dyDescent="0.25">
      <c r="A18" t="s">
        <v>60</v>
      </c>
      <c r="B18" s="18">
        <f>B17*Assumptions!B13</f>
        <v>607183117502.6442</v>
      </c>
    </row>
    <row r="19" spans="1:2" x14ac:dyDescent="0.25">
      <c r="A19" t="s">
        <v>61</v>
      </c>
      <c r="B19" s="18">
        <f>B18/(1+Assumptions!B26)^(5-0.5*Assumptions!B32)</f>
        <v>428995368214.23737</v>
      </c>
    </row>
    <row r="20" spans="1:2" x14ac:dyDescent="0.25">
      <c r="A20" t="s">
        <v>62</v>
      </c>
      <c r="B20" s="18">
        <f>Forecast!B17+B19</f>
        <v>484003634889.32794</v>
      </c>
    </row>
    <row r="21" spans="1:2" x14ac:dyDescent="0.25">
      <c r="A21" t="s">
        <v>63</v>
      </c>
      <c r="B21" s="18">
        <f>-Assumptions!B30</f>
        <v>-221891000000</v>
      </c>
    </row>
    <row r="22" spans="1:2" x14ac:dyDescent="0.25">
      <c r="A22" t="s">
        <v>64</v>
      </c>
      <c r="B22" s="18">
        <f>B20+B21</f>
        <v>262112634889.32794</v>
      </c>
    </row>
    <row r="23" spans="1:2" x14ac:dyDescent="0.25">
      <c r="A23" s="19" t="s">
        <v>65</v>
      </c>
      <c r="B23" s="25">
        <f>B22/Assumptions!B31</f>
        <v>825.291671565894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45.55908883347345</v>
      </c>
    </row>
    <row r="29" spans="1:2" x14ac:dyDescent="0.25">
      <c r="A29" s="19" t="s">
        <v>73</v>
      </c>
      <c r="B29" s="12">
        <f>B28/B26-1</f>
        <v>-0.9516357868009836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0.060254</v>
      </c>
      <c r="B5" s="31">
        <v>302.04302318557507</v>
      </c>
      <c r="C5" s="31">
        <v>306.078490088516</v>
      </c>
      <c r="D5" s="31">
        <v>310.1139569914563</v>
      </c>
      <c r="E5" s="31">
        <v>314.1494238943966</v>
      </c>
      <c r="F5" s="31">
        <v>318.1848907973369</v>
      </c>
    </row>
    <row r="6" spans="1:6" x14ac:dyDescent="0.25">
      <c r="A6" s="30">
        <v>0.070254</v>
      </c>
      <c r="B6" s="31">
        <v>152.14595697893867</v>
      </c>
      <c r="C6" s="31">
        <v>155.46385005555044</v>
      </c>
      <c r="D6" s="31">
        <v>158.78174313216144</v>
      </c>
      <c r="E6" s="31">
        <v>162.099636208773</v>
      </c>
      <c r="F6" s="31">
        <v>165.4175292853842</v>
      </c>
    </row>
    <row r="7" spans="1:6" x14ac:dyDescent="0.25">
      <c r="A7" s="30">
        <v>0.080254</v>
      </c>
      <c r="B7" s="31">
        <v>39.99158085620775</v>
      </c>
      <c r="C7" s="31">
        <v>42.77700380548636</v>
      </c>
      <c r="D7" s="32">
        <v>45.56242675476468</v>
      </c>
      <c r="E7" s="31">
        <v>48.3478497040432</v>
      </c>
      <c r="F7" s="31">
        <v>51.13327265332172</v>
      </c>
    </row>
    <row r="8" spans="1:6" x14ac:dyDescent="0.25">
      <c r="A8" s="30">
        <v>0.090254</v>
      </c>
      <c r="B8" s="31">
        <v>-46.9851647770124</v>
      </c>
      <c r="C8" s="31">
        <v>-44.608963345654104</v>
      </c>
      <c r="D8" s="31">
        <v>-42.23276191429599</v>
      </c>
      <c r="E8" s="31">
        <v>-39.8565604829375</v>
      </c>
      <c r="F8" s="31">
        <v>-37.4803590515793</v>
      </c>
    </row>
    <row r="9" spans="1:6" x14ac:dyDescent="0.25">
      <c r="A9" s="30">
        <v>0.100254</v>
      </c>
      <c r="B9" s="31">
        <v>-116.33489976291061</v>
      </c>
      <c r="C9" s="31">
        <v>-114.28182720040262</v>
      </c>
      <c r="D9" s="31">
        <v>-112.22875463789471</v>
      </c>
      <c r="E9" s="31">
        <v>-110.17568207538692</v>
      </c>
      <c r="F9" s="31">
        <v>-108.12260951287911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58283000000</v>
      </c>
      <c r="C5" s="18">
        <v>53512000000</v>
      </c>
      <c r="D5" s="18">
        <v>46254000000</v>
      </c>
      <c r="E5" s="18">
        <v>47365000000</v>
      </c>
      <c r="F5" s="8" t="s">
        <v>84</v>
      </c>
    </row>
    <row r="6" spans="1:6" x14ac:dyDescent="0.25">
      <c r="A6" t="s">
        <v>44</v>
      </c>
      <c r="B6" s="18">
        <v>21852000000</v>
      </c>
      <c r="C6" s="18">
        <v>18397000000</v>
      </c>
      <c r="D6" s="18">
        <v>10739000000</v>
      </c>
      <c r="E6" s="18">
        <v>13486000000</v>
      </c>
      <c r="F6" s="8" t="s">
        <v>85</v>
      </c>
    </row>
    <row r="7" spans="1:6" x14ac:dyDescent="0.25">
      <c r="A7" t="s">
        <v>86</v>
      </c>
      <c r="B7" s="18">
        <v>2182000000</v>
      </c>
      <c r="C7" s="18">
        <v>2392000000</v>
      </c>
      <c r="D7" s="18">
        <v>4856000000</v>
      </c>
      <c r="E7" s="18">
        <v>2455000000</v>
      </c>
      <c r="F7" s="8" t="s">
        <v>87</v>
      </c>
    </row>
    <row r="8" spans="1:6" x14ac:dyDescent="0.25">
      <c r="A8" t="s">
        <v>88</v>
      </c>
      <c r="B8" s="18">
        <v>2064000000</v>
      </c>
      <c r="C8" s="18">
        <v>2091000000</v>
      </c>
      <c r="D8" s="18">
        <v>2316000000</v>
      </c>
      <c r="E8" s="18">
        <v>3748000000</v>
      </c>
      <c r="F8" s="8" t="s">
        <v>89</v>
      </c>
    </row>
    <row r="9" spans="1:6" x14ac:dyDescent="0.25">
      <c r="A9" t="s">
        <v>90</v>
      </c>
      <c r="B9" s="18">
        <v>68907000000</v>
      </c>
      <c r="C9" s="18">
        <v>26451000000</v>
      </c>
      <c r="D9" s="18">
        <v>24413000000</v>
      </c>
      <c r="E9" s="18">
        <v>9481000000</v>
      </c>
      <c r="F9" s="8" t="s">
        <v>91</v>
      </c>
    </row>
    <row r="10" spans="1:6" x14ac:dyDescent="0.25">
      <c r="A10" t="s">
        <v>92</v>
      </c>
      <c r="B10" s="18">
        <v>386150000000</v>
      </c>
      <c r="C10" s="18">
        <v>342555000000</v>
      </c>
      <c r="D10" s="18">
        <v>333248000000</v>
      </c>
      <c r="E10" s="18">
        <v>324199000000</v>
      </c>
      <c r="F10" s="8" t="s">
        <v>93</v>
      </c>
    </row>
    <row r="11" spans="1:6" x14ac:dyDescent="0.25">
      <c r="A11" t="s">
        <v>94</v>
      </c>
      <c r="B11" s="18">
        <v>164259000000</v>
      </c>
      <c r="C11" s="18">
        <v>182092000000</v>
      </c>
      <c r="D11" s="18">
        <v>241577000000</v>
      </c>
      <c r="E11" s="18">
        <v>241825000000</v>
      </c>
      <c r="F11" s="8" t="s">
        <v>95</v>
      </c>
    </row>
    <row r="12" spans="1:6" x14ac:dyDescent="0.25">
      <c r="A12" t="s">
        <v>32</v>
      </c>
      <c r="B12" s="34">
        <v>317600000</v>
      </c>
      <c r="C12" s="34">
        <v>333600000</v>
      </c>
      <c r="D12" s="34">
        <v>345800000</v>
      </c>
      <c r="E12" s="34">
        <v>358100000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2026-09-19T00:06:15Z</dcterms:modified>
</cp:coreProperties>
</file>