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<sst xmlns="http://schemas.openxmlformats.org/spreadsheetml/2006/main" count="112" uniqueCount="100">
  <si>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GSK plc (GSK.L)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</si>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</sst>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0.03664171374431291</v>
      </c>
    </row>
    <row r="7" spans="1:2" x14ac:dyDescent="0.25">
      <c r="A7" t="s">
        <v>5</v>
      </c>
      <c r="B7" s="6">
        <v>0.22588257345851265</v>
      </c>
    </row>
    <row r="8" spans="1:2" x14ac:dyDescent="0.25">
      <c r="A8" t="s">
        <v>6</v>
      </c>
      <c r="B8" s="6">
        <v>0.13793592838402235</v>
      </c>
    </row>
    <row r="9" spans="1:2" x14ac:dyDescent="0.25">
      <c r="A9" t="s">
        <v>7</v>
      </c>
      <c r="B9" s="6">
        <v>0.07524908607431156</v>
      </c>
    </row>
    <row r="10" spans="1:2" x14ac:dyDescent="0.25">
      <c r="A10" t="s">
        <v>8</v>
      </c>
      <c r="B10" s="6">
        <v>0.08517687545970967</v>
      </c>
    </row>
    <row r="11" spans="1:2" x14ac:dyDescent="0.25">
      <c r="A11" t="s">
        <v>9</v>
      </c>
      <c r="B11" s="6">
        <v>0.36254980079681276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8.427182245587684</v>
      </c>
    </row>
    <row r="14" spans="1:3" x14ac:dyDescent="0.25">
      <c r="A14" t="s">
        <v>12</v>
      </c>
      <c r="B14" s="6">
        <v>0.19983421220084652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0.5243</v>
      </c>
      <c r="C19" s="8" t="s">
        <v>19</v>
      </c>
    </row>
    <row r="20" spans="1:2" x14ac:dyDescent="0.25">
      <c r="A20" t="s">
        <v>20</v>
      </c>
      <c r="B20" s="10">
        <f>B17+B19*B18</f>
        <v>0.0738365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75205345280</v>
      </c>
    </row>
    <row r="23" spans="1:2" x14ac:dyDescent="0.25">
      <c r="A23" t="s">
        <v>24</v>
      </c>
      <c r="B23" s="11">
        <v>17720000000</v>
      </c>
    </row>
    <row r="24" spans="1:2" x14ac:dyDescent="0.25">
      <c r="A24" t="s">
        <v>25</v>
      </c>
      <c r="B24" s="10">
        <f>B22/(B22+B23)</f>
        <v>0.8093092907364874</v>
      </c>
    </row>
    <row r="25" spans="1:2" x14ac:dyDescent="0.25">
      <c r="A25" t="s">
        <v>26</v>
      </c>
      <c r="B25" s="10">
        <f>1-B24</f>
        <v>0.19069070926351261</v>
      </c>
    </row>
    <row r="26" spans="1:2" x14ac:dyDescent="0.25">
      <c r="A26" t="s">
        <v>27</v>
      </c>
      <c r="B26" s="12">
        <f>B24*B20+B25*B21*(1-B8)</f>
        <v>0.06715400786158156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32667000000</v>
      </c>
      <c r="C29" s="8" t="s">
        <v>30</v>
      </c>
    </row>
    <row r="30" spans="1:2" x14ac:dyDescent="0.25">
      <c r="A30" t="s">
        <v>31</v>
      </c>
      <c r="B30" s="11">
        <v>14561000000</v>
      </c>
    </row>
    <row r="31" spans="1:2" x14ac:dyDescent="0.25">
      <c r="A31" t="s">
        <v>32</v>
      </c>
      <c r="B31" s="13">
        <v>4117000000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0.03664171374431291</v>
      </c>
      <c r="C5" s="10">
        <f>Assumptions!B6</f>
        <v>0.03664171374431291</v>
      </c>
      <c r="D5" s="10">
        <f>Assumptions!B6</f>
        <v>0.03664171374431291</v>
      </c>
      <c r="E5" s="10">
        <f>Assumptions!B6</f>
        <v>0.03664171374431291</v>
      </c>
      <c r="F5" s="10">
        <f>Assumptions!B6</f>
        <v>0.03664171374431291</v>
      </c>
    </row>
    <row r="6" spans="1:6" x14ac:dyDescent="0.25">
      <c r="A6" t="s">
        <v>43</v>
      </c>
      <c r="B6" s="18">
        <f>Assumptions!B29*(1+B5)</f>
        <v>33863974862.88547</v>
      </c>
      <c r="C6" s="18">
        <f>B6*(1+C5)</f>
        <v>35104808936.05593</v>
      </c>
      <c r="D6" s="18">
        <f>C6*(1+D5)</f>
        <v>36391109296.13969</v>
      </c>
      <c r="E6" s="18">
        <f>D6*(1+E5)</f>
        <v>37724541905.80684</v>
      </c>
      <c r="F6" s="18">
        <f>E6*(1+F5)</f>
        <v>39106833771.45475</v>
      </c>
    </row>
    <row r="7" spans="1:6" x14ac:dyDescent="0.25">
      <c r="A7" t="s">
        <v>5</v>
      </c>
      <c r="B7" s="10">
        <f>Assumptions!B7</f>
        <v>0.22588257345851265</v>
      </c>
      <c r="C7" s="10">
        <f>Assumptions!B7</f>
        <v>0.22588257345851265</v>
      </c>
      <c r="D7" s="10">
        <f>Assumptions!B7</f>
        <v>0.22588257345851265</v>
      </c>
      <c r="E7" s="10">
        <f>Assumptions!B7</f>
        <v>0.22588257345851265</v>
      </c>
      <c r="F7" s="10">
        <f>Assumptions!B7</f>
        <v>0.22588257345851265</v>
      </c>
    </row>
    <row r="8" spans="1:6" x14ac:dyDescent="0.25">
      <c r="A8" t="s">
        <v>44</v>
      </c>
      <c r="B8" s="18">
        <f>B6*B7</f>
        <v>7649281789.562953</v>
      </c>
      <c r="C8" s="18">
        <f>C6*C7</f>
        <v>7929564583.245705</v>
      </c>
      <c r="D8" s="18">
        <f>D6*D7</f>
        <v>8220117418.822035</v>
      </c>
      <c r="E8" s="18">
        <f>E6*E7</f>
        <v>8521316608.227152</v>
      </c>
      <c r="F8" s="18">
        <f>F6*F7</f>
        <v>8833552252.110472</v>
      </c>
    </row>
    <row r="9" spans="1:6" x14ac:dyDescent="0.25">
      <c r="A9" t="s">
        <v>45</v>
      </c>
      <c r="B9" s="18">
        <f>B8*(1-Assumptions!B8)</f>
        <v>6594171004.448591</v>
      </c>
      <c r="C9" s="18">
        <f>C8*(1-Assumptions!B8)</f>
        <v>6835792730.774645</v>
      </c>
      <c r="D9" s="18">
        <f>D8*(1-Assumptions!B8)</f>
        <v>7086267891.231144</v>
      </c>
      <c r="E9" s="18">
        <f>E8*(1-Assumptions!B8)</f>
        <v>7345920890.817151</v>
      </c>
      <c r="F9" s="18">
        <f>F8*(1-Assumptions!B8)</f>
        <v>7615088021.286842</v>
      </c>
    </row>
    <row r="10" spans="1:6" x14ac:dyDescent="0.25">
      <c r="A10" t="s">
        <v>46</v>
      </c>
      <c r="B10" s="18">
        <f>B6*Assumptions!B9</f>
        <v>2548233159.275592</v>
      </c>
      <c r="C10" s="18">
        <f>C6*Assumptions!B9</f>
        <v>2641604789.2515345</v>
      </c>
      <c r="D10" s="18">
        <f>D6*Assumptions!B9</f>
        <v>2738397715.764895</v>
      </c>
      <c r="E10" s="18">
        <f>E6*Assumptions!B9</f>
        <v>2838737300.9840326</v>
      </c>
      <c r="F10" s="18">
        <f>F6*Assumptions!B9</f>
        <v>2942753500.5619926</v>
      </c>
    </row>
    <row r="11" spans="1:6" x14ac:dyDescent="0.25">
      <c r="A11" t="s">
        <v>47</v>
      </c>
      <c r="B11" s="18">
        <f>-B6*Assumptions!B10</f>
        <v>-2884427569.466735</v>
      </c>
      <c r="C11" s="18">
        <f>-C6*Assumptions!B10</f>
        <v>-2990117938.783339</v>
      </c>
      <c r="D11" s="18">
        <f>-D6*Assumptions!B10</f>
        <v>-3099680984.357973</v>
      </c>
      <c r="E11" s="18">
        <f>-E6*Assumptions!B10</f>
        <v>-3213258607.685508</v>
      </c>
      <c r="F11" s="18">
        <f>-F6*Assumptions!B10</f>
        <v>-3330997909.77477</v>
      </c>
    </row>
    <row r="12" spans="1:6" x14ac:dyDescent="0.25">
      <c r="A12" t="s">
        <v>48</v>
      </c>
      <c r="B12" s="18">
        <f>-(B6-Assumptions!B29)*Assumptions!B11</f>
        <v>-433962998.0979199</v>
      </c>
      <c r="C12" s="18">
        <f>-(C6-B6)*Assumptions!B11</f>
        <v>-449864146.04984796</v>
      </c>
      <c r="D12" s="18">
        <f>-(D6-C6)*Assumptions!B11</f>
        <v>-466347939.3132341</v>
      </c>
      <c r="E12" s="18">
        <f>-(E6-D6)*Assumptions!B11</f>
        <v>-483435727.0108003</v>
      </c>
      <c r="F12" s="18">
        <f>-(F6-E6)*Assumptions!B11</f>
        <v>-501149640.5337048</v>
      </c>
    </row>
    <row r="13" spans="1:6" x14ac:dyDescent="0.25">
      <c r="A13" s="19" t="s">
        <v>49</v>
      </c>
      <c r="B13" s="20">
        <f>B9+B10+B11+B12</f>
        <v>5824013596.159528</v>
      </c>
      <c r="C13" s="20">
        <f>C9+C10+C11+C12</f>
        <v>6037415435.192994</v>
      </c>
      <c r="D13" s="20">
        <f>D9+D10+D11+D12</f>
        <v>6258636683.324831</v>
      </c>
      <c r="E13" s="20">
        <f>E9+E10+E11+E12</f>
        <v>6487963857.104876</v>
      </c>
      <c r="F13" s="20">
        <f>F9+F10+F11+F12</f>
        <v>6725693971.54036</v>
      </c>
    </row>
    <row r="14" spans="1:6" x14ac:dyDescent="0.25">
      <c r="A14" t="s">
        <v>50</v>
      </c>
      <c r="B14" s="21">
        <f>1/(1+Assumptions!$B$26)^(1-0.5*Assumptions!$B$32)</f>
        <v>0.9680247250890311</v>
      </c>
      <c r="C14" s="21">
        <f>1/(1+Assumptions!$B$26)^(2-0.5*Assumptions!$B$32)</f>
        <v>0.9071087377807908</v>
      </c>
      <c r="D14" s="21">
        <f>1/(1+Assumptions!$B$26)^(3-0.5*Assumptions!$B$32)</f>
        <v>0.8500260797394202</v>
      </c>
      <c r="E14" s="21">
        <f>1/(1+Assumptions!$B$26)^(4-0.5*Assumptions!$B$32)</f>
        <v>0.7965355267162859</v>
      </c>
      <c r="F14" s="21">
        <f>1/(1+Assumptions!$B$26)^(5-0.5*Assumptions!$B$32)</f>
        <v>0.7464110342540202</v>
      </c>
    </row>
    <row r="15" spans="1:6" x14ac:dyDescent="0.25">
      <c r="A15" s="19" t="s">
        <v>51</v>
      </c>
      <c r="B15" s="20">
        <f>B13*B14</f>
        <v>5637789160.337107</v>
      </c>
      <c r="C15" s="20">
        <f>C13*C14</f>
        <v>5476592294.876181</v>
      </c>
      <c r="D15" s="20">
        <f>D13*D14</f>
        <v>5320004404.439934</v>
      </c>
      <c r="E15" s="20">
        <f>E13*E14</f>
        <v>5167893708.235258</v>
      </c>
      <c r="F15" s="20">
        <f>F13*F14</f>
        <v>5020132193.373469</v>
      </c>
    </row>
    <row r="17" spans="1:2" x14ac:dyDescent="0.25">
      <c r="A17" s="22" t="s">
        <v>52</v>
      </c>
      <c r="B17" s="23">
        <f>SUM(B15:F15)</f>
        <v>26622411761.26195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6725693971.54036</v>
      </c>
    </row>
    <row r="5" spans="1:2" x14ac:dyDescent="0.25">
      <c r="A5" t="s">
        <v>56</v>
      </c>
      <c r="B5" s="18">
        <f>IF(Assumptions!$B$33=0,B4,B4-Forecast!F11-Forecast!F10-Forecast!F12)</f>
        <v>8979171688.172789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0.12510370333821197</v>
      </c>
    </row>
    <row r="7" spans="1:2" x14ac:dyDescent="0.25">
      <c r="A7" t="s">
        <v>58</v>
      </c>
      <c r="B7" s="18">
        <f>-MAX(Forecast!F9,0)*B6</f>
        <v>-1123327631.1000404</v>
      </c>
    </row>
    <row r="8" spans="1:2" x14ac:dyDescent="0.25">
      <c r="A8" t="s">
        <v>59</v>
      </c>
      <c r="B8" s="18">
        <f>IF(OR(Assumptions!$B$33=0,Assumptions!B12&lt;=0),B5,MAX(B5+B7,0))</f>
        <v>7855844057.072748</v>
      </c>
    </row>
    <row r="9" spans="1:2" x14ac:dyDescent="0.25">
      <c r="A9" t="s">
        <v>60</v>
      </c>
      <c r="B9" s="18">
        <f>B8*(1+Assumptions!B12)/(Assumptions!B26-Assumptions!B12)</f>
        <v>191019562954.4929</v>
      </c>
    </row>
    <row r="10" spans="1:2" x14ac:dyDescent="0.25">
      <c r="A10" t="s">
        <v>61</v>
      </c>
      <c r="B10" s="18">
        <f>B9/(1+Assumptions!B26)^(5-0.5*Assumptions!B32)</f>
        <v>142579109547.61395</v>
      </c>
    </row>
    <row r="11" spans="1:2" x14ac:dyDescent="0.25">
      <c r="A11" t="s">
        <v>62</v>
      </c>
      <c r="B11" s="18">
        <f>Forecast!B17+B10</f>
        <v>169201521308.87592</v>
      </c>
    </row>
    <row r="12" spans="1:2" x14ac:dyDescent="0.25">
      <c r="A12" t="s">
        <v>63</v>
      </c>
      <c r="B12" s="18">
        <f>-Assumptions!B30</f>
        <v>-14561000000</v>
      </c>
    </row>
    <row r="13" spans="1:2" x14ac:dyDescent="0.25">
      <c r="A13" t="s">
        <v>64</v>
      </c>
      <c r="B13" s="18">
        <f>B11+B12</f>
        <v>154640521308.87592</v>
      </c>
    </row>
    <row r="14" spans="1:2" x14ac:dyDescent="0.25">
      <c r="A14" s="19" t="s">
        <v>65</v>
      </c>
      <c r="B14" s="24">
        <f>B13/Assumptions!B31</f>
        <v>37.56145768979255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11776305752.672464</v>
      </c>
    </row>
    <row r="18" spans="1:2" x14ac:dyDescent="0.25">
      <c r="A18" t="s">
        <v>60</v>
      </c>
      <c r="B18" s="18">
        <f>B17*Assumptions!B13</f>
        <v>99241074757.5335</v>
      </c>
    </row>
    <row r="19" spans="1:2" x14ac:dyDescent="0.25">
      <c r="A19" t="s">
        <v>61</v>
      </c>
      <c r="B19" s="18">
        <f>B18/(1+Assumptions!B26)^(5-0.5*Assumptions!B32)</f>
        <v>74074633250.25111</v>
      </c>
    </row>
    <row r="20" spans="1:2" x14ac:dyDescent="0.25">
      <c r="A20" t="s">
        <v>62</v>
      </c>
      <c r="B20" s="18">
        <f>Forecast!B17+B19</f>
        <v>100697045011.51306</v>
      </c>
    </row>
    <row r="21" spans="1:2" x14ac:dyDescent="0.25">
      <c r="A21" t="s">
        <v>63</v>
      </c>
      <c r="B21" s="18">
        <f>-Assumptions!B30</f>
        <v>-14561000000</v>
      </c>
    </row>
    <row r="22" spans="1:2" x14ac:dyDescent="0.25">
      <c r="A22" t="s">
        <v>64</v>
      </c>
      <c r="B22" s="18">
        <f>B20+B21</f>
        <v>86136045011.51306</v>
      </c>
    </row>
    <row r="23" spans="1:2" x14ac:dyDescent="0.25">
      <c r="A23" s="19" t="s">
        <v>65</v>
      </c>
      <c r="B23" s="25">
        <f>B22/Assumptions!B31</f>
        <v>20.92204153789484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1877.5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3756.1457689792546</v>
      </c>
    </row>
    <row r="29" spans="1:2" x14ac:dyDescent="0.25">
      <c r="A29" s="19" t="s">
        <v>73</v>
      </c>
      <c r="B29" s="12">
        <f>B28/B26-1</f>
        <v>1.0006102631047962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0.047154</v>
      </c>
      <c r="B5" s="31">
        <v>54.99274709650753</v>
      </c>
      <c r="C5" s="31">
        <v>63.15852955482235</v>
      </c>
      <c r="D5" s="31">
        <v>74.99021026323761</v>
      </c>
      <c r="E5" s="31">
        <v>93.6933665653179</v>
      </c>
      <c r="F5" s="31">
        <v>127.74850972525412</v>
      </c>
    </row>
    <row r="6" spans="1:6" x14ac:dyDescent="0.25">
      <c r="A6" s="30">
        <v>0.057154</v>
      </c>
      <c r="B6" s="31">
        <v>40.90512518078043</v>
      </c>
      <c r="C6" s="31">
        <v>45.04014198653563</v>
      </c>
      <c r="D6" s="31">
        <v>50.44794669998414</v>
      </c>
      <c r="E6" s="31">
        <v>57.83163347356759</v>
      </c>
      <c r="F6" s="31">
        <v>68.52902982836676</v>
      </c>
    </row>
    <row r="7" spans="1:6" x14ac:dyDescent="0.25">
      <c r="A7" s="30">
        <v>0.067154</v>
      </c>
      <c r="B7" s="31">
        <v>32.23349221145547</v>
      </c>
      <c r="C7" s="31">
        <v>34.61932056499148</v>
      </c>
      <c r="D7" s="32">
        <v>37.56146541291475</v>
      </c>
      <c r="E7" s="31">
        <v>41.28452565213567</v>
      </c>
      <c r="F7" s="31">
        <v>46.15280217428401</v>
      </c>
    </row>
    <row r="8" spans="1:6" x14ac:dyDescent="0.25">
      <c r="A8" s="30">
        <v>0.077154</v>
      </c>
      <c r="B8" s="31">
        <v>26.363014277163423</v>
      </c>
      <c r="C8" s="31">
        <v>27.854993134645216</v>
      </c>
      <c r="D8" s="31">
        <v>29.625554893603965</v>
      </c>
      <c r="E8" s="31">
        <v>31.763318621820886</v>
      </c>
      <c r="F8" s="31">
        <v>34.3989487767347</v>
      </c>
    </row>
    <row r="9" spans="1:6" x14ac:dyDescent="0.25">
      <c r="A9" s="30">
        <v>0.087154</v>
      </c>
      <c r="B9" s="31">
        <v>22.128482332327085</v>
      </c>
      <c r="C9" s="31">
        <v>23.11317196145207</v>
      </c>
      <c r="D9" s="31">
        <v>24.25026093759306</v>
      </c>
      <c r="E9" s="31">
        <v>25.57974628992108</v>
      </c>
      <c r="F9" s="31">
        <v>27.15696309614456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32667000000</v>
      </c>
      <c r="C5" s="18">
        <v>31376000000</v>
      </c>
      <c r="D5" s="18">
        <v>30328000000</v>
      </c>
      <c r="E5" s="18">
        <v>29324000000</v>
      </c>
      <c r="F5" s="8" t="s">
        <v>84</v>
      </c>
    </row>
    <row r="6" spans="1:6" x14ac:dyDescent="0.25">
      <c r="A6" t="s">
        <v>44</v>
      </c>
      <c r="B6" s="18">
        <v>8338000000</v>
      </c>
      <c r="C6" s="18">
        <v>5542000000</v>
      </c>
      <c r="D6" s="18">
        <v>7345000000</v>
      </c>
      <c r="E6" s="18">
        <v>6729000000</v>
      </c>
      <c r="F6" s="8" t="s">
        <v>85</v>
      </c>
    </row>
    <row r="7" spans="1:6" x14ac:dyDescent="0.25">
      <c r="A7" t="s">
        <v>86</v>
      </c>
      <c r="B7" s="18">
        <v>2314000000</v>
      </c>
      <c r="C7" s="18">
        <v>2551000000</v>
      </c>
      <c r="D7" s="18">
        <v>2294000000</v>
      </c>
      <c r="E7" s="18">
        <v>2147000000</v>
      </c>
      <c r="F7" s="8" t="s">
        <v>87</v>
      </c>
    </row>
    <row r="8" spans="1:6" x14ac:dyDescent="0.25">
      <c r="A8" t="s">
        <v>88</v>
      </c>
      <c r="B8" s="18">
        <v>2985000000</v>
      </c>
      <c r="C8" s="18">
        <v>2982000000</v>
      </c>
      <c r="D8" s="18">
        <v>2344000000</v>
      </c>
      <c r="E8" s="18">
        <v>2258000000</v>
      </c>
      <c r="F8" s="8" t="s">
        <v>89</v>
      </c>
    </row>
    <row r="9" spans="1:6" x14ac:dyDescent="0.25">
      <c r="A9" t="s">
        <v>90</v>
      </c>
      <c r="B9" s="18">
        <v>1437000000</v>
      </c>
      <c r="C9" s="18">
        <v>-2090000000</v>
      </c>
      <c r="D9" s="18">
        <v>364000000</v>
      </c>
      <c r="E9" s="18">
        <v>-270000000</v>
      </c>
      <c r="F9" s="8" t="s">
        <v>91</v>
      </c>
    </row>
    <row r="10" spans="1:6" x14ac:dyDescent="0.25">
      <c r="A10" t="s">
        <v>92</v>
      </c>
      <c r="B10" s="18">
        <v>17720000000</v>
      </c>
      <c r="C10" s="18">
        <v>16986000000</v>
      </c>
      <c r="D10" s="18">
        <v>18018000000</v>
      </c>
      <c r="E10" s="18">
        <v>20987000000</v>
      </c>
      <c r="F10" s="8" t="s">
        <v>93</v>
      </c>
    </row>
    <row r="11" spans="1:6" x14ac:dyDescent="0.25">
      <c r="A11" t="s">
        <v>94</v>
      </c>
      <c r="B11" s="18">
        <v>3159000000</v>
      </c>
      <c r="C11" s="18">
        <v>3714000000</v>
      </c>
      <c r="D11" s="18">
        <v>4992000000</v>
      </c>
      <c r="E11" s="18">
        <v>7677000000</v>
      </c>
      <c r="F11" s="8" t="s">
        <v>95</v>
      </c>
    </row>
    <row r="12" spans="1:6" x14ac:dyDescent="0.25">
      <c r="A12" t="s">
        <v>32</v>
      </c>
      <c r="B12" s="34">
        <v>4117000000</v>
      </c>
      <c r="C12" s="34">
        <v>4142000000</v>
      </c>
      <c r="D12" s="34">
        <v>4111000000</v>
      </c>
      <c r="E12" s="34">
        <v>4084000000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2026-09-19T00:07:10Z</dcterms:modified>
</cp:coreProperties>
</file>