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<sst xmlns="http://schemas.openxmlformats.org/spreadsheetml/2006/main" count="122" uniqueCount="109">
  <si>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Gentrack Group Limited (GTK.NZ)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</si>
  <si>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</si>
  <si>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</si>
  <si>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</si>
  <si>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</si>
  <si>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</si>
  <si>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</si>
  <si>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</si>
  <si>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</si>
  <si>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</si>
  <si>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</si>
  <si>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</si>
  <si>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</si>
  <si>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</si>
  <si>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</si>
  <si>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</si>
  <si>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</si>
  <si>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</si>
  <si>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</si>
  <si>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</si>
  <si>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</si>
  <si>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</si>
  <si>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</si>
  <si>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</si>
  <si>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Risk-free + 40bp, the spread for a AAA rating at 68.1x interest cover. Book interest / average debt was lower, at 1.6%.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</si>
  <si>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</si>
  <si>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</si>
  <si>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</si>
  <si>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</si>
  <si>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</si>
  <si>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</si>
  <si>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</si>
  <si>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2025-09-30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</si>
  <si>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</si>
  <si>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</si>
  <si>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</si>
  <si>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</si>
  <si>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</si>
  <si>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</si>
  <si>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</si>
  <si>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</si>
  <si>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</si>
  <si>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</si>
  <si>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</si>
  <si>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</si>
  <si>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</si>
  <si>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</si>
  <si>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</si>
  <si>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</si>
  <si>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</si>
  <si>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</si>
  <si>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</si>
  <si>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</si>
  <si>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</si>
  <si>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</si>
  <si>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</si>
  <si>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</si>
  <si>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</si>
  <si>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</si>
  <si>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</si>
  <si>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</si>
  <si>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(NZD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</si>
  <si>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</si>
  <si>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</si>
  <si>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</si>
  <si>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</si>
  <si>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</si>
  <si>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</si>
  <si>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</si>
  <si>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</si>
  <si>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</si>
  <si>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</si>
  <si>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</si>
  <si>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</si>
  <si>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</si>
  <si>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</si>
  <si>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</si>
  <si>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</si>
  <si>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</si>
  <si>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</si>
  <si>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</si>
  <si>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</si>
  <si>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</si>
  <si>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</si>
  <si>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</si>
  <si>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</si>
  <si>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</si>
  <si>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</si>
  <si>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</si>
  <si>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</si>
  <si>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</si>
  <si>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</si>
  <si>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</si>
  <si>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</si>
  <si>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</si>
  <si>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</si>
  <si>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</si>
  <si>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</si>
  <si>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</si>
  <si>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</si>
  <si>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</si>
  <si>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</si>
  <si>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</si>
  <si>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</si>
  <si>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</si>
  <si>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</si>
  <si>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0.80% of revenue, which is too low to be the company's real investment - property trusts and similar structures invest through lines that are not reported as capex. Capex has been set to 5.45%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</si>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</sst>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0.01169370183410523</v>
      </c>
    </row>
    <row r="7" spans="1:2" x14ac:dyDescent="0.25">
      <c r="A7" t="s">
        <v>4</v>
      </c>
      <c r="B7" s="5">
        <v>0.05350341012678275</v>
      </c>
    </row>
    <row r="8" spans="1:2" x14ac:dyDescent="0.25">
      <c r="A8" t="s">
        <v>5</v>
      </c>
      <c r="B8" s="5">
        <v>0.28</v>
      </c>
    </row>
    <row r="9" spans="1:2" x14ac:dyDescent="0.25">
      <c r="A9" t="s">
        <v>6</v>
      </c>
      <c r="B9" s="5">
        <v>0.05451625582205784</v>
      </c>
    </row>
    <row r="10" spans="1:3" x14ac:dyDescent="0.25">
      <c r="A10" t="s">
        <v>7</v>
      </c>
      <c r="B10" s="5">
        <v>0.05451625582205784</v>
      </c>
      <c r="C10" s="6" t="s">
        <v>8</v>
      </c>
    </row>
    <row r="11" spans="1:2" x14ac:dyDescent="0.25">
      <c r="A11" t="s">
        <v>9</v>
      </c>
      <c r="B11" s="5">
        <v>0.13067094314435151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14.694902547862387</v>
      </c>
    </row>
    <row r="14" spans="1:3" x14ac:dyDescent="0.25">
      <c r="A14" t="s">
        <v>12</v>
      </c>
      <c r="B14" s="5">
        <v>0.088625177953495</v>
      </c>
      <c r="C14" s="6" t="s">
        <v>13</v>
      </c>
    </row>
    <row r="15" spans="1:3" x14ac:dyDescent="0.25">
      <c r="A15" t="s">
        <v>14</v>
      </c>
      <c r="B15" s="5">
        <v>0.05451625582205784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0.045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1.07437</v>
      </c>
      <c r="C19" s="6" t="s">
        <v>21</v>
      </c>
    </row>
    <row r="20" spans="1:2" x14ac:dyDescent="0.25">
      <c r="A20" t="s">
        <v>22</v>
      </c>
      <c r="B20" s="9">
        <f>B17+B19*B18</f>
        <v>0.090445851</v>
      </c>
    </row>
    <row r="21" spans="1:3" x14ac:dyDescent="0.25">
      <c r="A21" t="s">
        <v>23</v>
      </c>
      <c r="B21" s="5">
        <v>0.049</v>
      </c>
      <c r="C21" s="6" t="s">
        <v>24</v>
      </c>
    </row>
    <row r="22" spans="1:2" x14ac:dyDescent="0.25">
      <c r="A22" t="s">
        <v>25</v>
      </c>
      <c r="B22" s="10">
        <v>476881952</v>
      </c>
    </row>
    <row r="23" spans="1:2" x14ac:dyDescent="0.25">
      <c r="A23" t="s">
        <v>26</v>
      </c>
      <c r="B23" s="10">
        <v>16276000</v>
      </c>
    </row>
    <row r="24" spans="1:2" x14ac:dyDescent="0.25">
      <c r="A24" t="s">
        <v>27</v>
      </c>
      <c r="B24" s="9">
        <f>B22/(B22+B23)</f>
        <v>0.9669963752303035</v>
      </c>
    </row>
    <row r="25" spans="1:2" x14ac:dyDescent="0.25">
      <c r="A25" t="s">
        <v>28</v>
      </c>
      <c r="B25" s="9">
        <f>1-B24</f>
        <v>0.03300362476969654</v>
      </c>
    </row>
    <row r="26" spans="1:2" x14ac:dyDescent="0.25">
      <c r="A26" t="s">
        <v>29</v>
      </c>
      <c r="B26" s="11">
        <f>B24*B20+B25*B21*(1-B8)</f>
        <v>0.088625177953495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230194000</v>
      </c>
      <c r="C29" s="6" t="s">
        <v>32</v>
      </c>
    </row>
    <row r="30" spans="1:2" x14ac:dyDescent="0.25">
      <c r="A30" t="s">
        <v>33</v>
      </c>
      <c r="B30" s="10">
        <v>-68540000</v>
      </c>
    </row>
    <row r="31" spans="1:2" x14ac:dyDescent="0.25">
      <c r="A31" t="s">
        <v>34</v>
      </c>
      <c r="B31" s="12">
        <v>109842105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0.01169370183410523</v>
      </c>
      <c r="C5" s="5">
        <v>0.11550673201142092</v>
      </c>
      <c r="D5" s="5">
        <v>0.10419339050999331</v>
      </c>
      <c r="E5" s="5">
        <v>0.0928800490085657</v>
      </c>
      <c r="F5" s="5">
        <v>0.08156670750713807</v>
      </c>
      <c r="G5" s="5">
        <v>0.07025336600571046</v>
      </c>
      <c r="H5" s="5">
        <v>0.058940024504282845</v>
      </c>
      <c r="I5" s="5">
        <v>0.04762668300285522</v>
      </c>
      <c r="J5" s="5">
        <v>0.03631334150142761</v>
      </c>
      <c r="K5" s="5">
        <v>0.024999999999999994</v>
      </c>
    </row>
    <row r="6" spans="1:11" x14ac:dyDescent="0.25">
      <c r="A6" t="s">
        <v>50</v>
      </c>
      <c r="B6" s="18">
        <f>Assumptions!B29*(1+B5)</f>
        <v>232885820.00000003</v>
      </c>
      <c r="C6" s="18">
        <f>B6*(1+C5)</f>
        <v>259785700.00000003</v>
      </c>
      <c r="D6" s="18">
        <f>C6*(1+D5)</f>
        <v>286853652.889012</v>
      </c>
      <c r="E6" s="18">
        <f>D6*(1+E5)</f>
        <v>313496634.2276295</v>
      </c>
      <c r="F6" s="18">
        <f>E6*(1+F5)</f>
        <v>339067522.4961468</v>
      </c>
      <c r="G6" s="18">
        <f>F6*(1+G5)</f>
        <v>362888157.25471807</v>
      </c>
      <c r="H6" s="18">
        <f>G6*(1+H5)</f>
        <v>384276794.1356252</v>
      </c>
      <c r="I6" s="18">
        <f>H6*(1+I5)</f>
        <v>402578623.1952761</v>
      </c>
      <c r="J6" s="18">
        <f>I6*(1+J5)</f>
        <v>417197598.2205407</v>
      </c>
      <c r="K6" s="18">
        <f>J6*(1+K5)</f>
        <v>427627538.1760542</v>
      </c>
    </row>
    <row r="7" spans="1:11" x14ac:dyDescent="0.25">
      <c r="A7" t="s">
        <v>4</v>
      </c>
      <c r="B7" s="9">
        <f>Assumptions!B7</f>
        <v>0.05350341012678275</v>
      </c>
      <c r="C7" s="9">
        <f>Assumptions!B7</f>
        <v>0.05350341012678275</v>
      </c>
      <c r="D7" s="9">
        <f>Assumptions!B7</f>
        <v>0.05350341012678275</v>
      </c>
      <c r="E7" s="9">
        <f>Assumptions!B7</f>
        <v>0.05350341012678275</v>
      </c>
      <c r="F7" s="9">
        <f>Assumptions!B7</f>
        <v>0.05350341012678275</v>
      </c>
      <c r="G7" s="9">
        <f>Assumptions!B7</f>
        <v>0.05350341012678275</v>
      </c>
      <c r="H7" s="9">
        <f>Assumptions!B7</f>
        <v>0.05350341012678275</v>
      </c>
      <c r="I7" s="9">
        <f>Assumptions!B7</f>
        <v>0.05350341012678275</v>
      </c>
      <c r="J7" s="9">
        <f>Assumptions!B7</f>
        <v>0.05350341012678275</v>
      </c>
      <c r="K7" s="9">
        <f>Assumptions!B7</f>
        <v>0.05350341012678275</v>
      </c>
    </row>
    <row r="8" spans="1:11" x14ac:dyDescent="0.25">
      <c r="A8" t="s">
        <v>51</v>
      </c>
      <c r="B8" s="18">
        <f>B6*B7</f>
        <v>12460185.540172108</v>
      </c>
      <c r="C8" s="18">
        <f>C6*C7</f>
        <v>13899420.852173347</v>
      </c>
      <c r="D8" s="18">
        <f>D6*D7</f>
        <v>15347648.636886587</v>
      </c>
      <c r="E8" s="18">
        <f>E6*E7</f>
        <v>16773138.994446859</v>
      </c>
      <c r="F8" s="18">
        <f>F6*F7</f>
        <v>18141268.71678348</v>
      </c>
      <c r="G8" s="18">
        <f>G6*G7</f>
        <v>19415753.907751616</v>
      </c>
      <c r="H8" s="18">
        <f>H6*H7</f>
        <v>20560118.91884362</v>
      </c>
      <c r="I8" s="18">
        <f>I6*I7</f>
        <v>21539329.185092393</v>
      </c>
      <c r="J8" s="18">
        <f>J6*J7</f>
        <v>22321494.20150232</v>
      </c>
      <c r="K8" s="18">
        <f>K6*K7</f>
        <v>22879531.556539875</v>
      </c>
    </row>
    <row r="9" spans="1:11" x14ac:dyDescent="0.25">
      <c r="A9" t="s">
        <v>52</v>
      </c>
      <c r="B9" s="18">
        <f>B8*(1-Assumptions!B8)</f>
        <v>8971333.588923916</v>
      </c>
      <c r="C9" s="18">
        <f>C8*(1-Assumptions!B8)</f>
        <v>10007583.01356481</v>
      </c>
      <c r="D9" s="18">
        <f>D8*(1-Assumptions!B8)</f>
        <v>11050307.018558342</v>
      </c>
      <c r="E9" s="18">
        <f>E8*(1-Assumptions!B8)</f>
        <v>12076660.076001737</v>
      </c>
      <c r="F9" s="18">
        <f>F8*(1-Assumptions!B8)</f>
        <v>13061713.476084104</v>
      </c>
      <c r="G9" s="18">
        <f>G8*(1-Assumptions!B8)</f>
        <v>13979342.813581163</v>
      </c>
      <c r="H9" s="18">
        <f>H8*(1-Assumptions!B8)</f>
        <v>14803285.621567406</v>
      </c>
      <c r="I9" s="18">
        <f>I8*(1-Assumptions!B8)</f>
        <v>15508317.013266522</v>
      </c>
      <c r="J9" s="18">
        <f>J8*(1-Assumptions!B8)</f>
        <v>16071475.825081669</v>
      </c>
      <c r="K9" s="18">
        <f>K8*(1-Assumptions!B8)</f>
        <v>16473262.72070871</v>
      </c>
    </row>
    <row r="10" spans="1:11" x14ac:dyDescent="0.25">
      <c r="A10" t="s">
        <v>53</v>
      </c>
      <c r="B10" s="18">
        <f>B6*Assumptions!B9</f>
        <v>12696062.940449715</v>
      </c>
      <c r="C10" s="18">
        <f>C6*Assumptions!B9</f>
        <v>14162543.680112373</v>
      </c>
      <c r="D10" s="18">
        <f>D6*Assumptions!B9</f>
        <v>15638187.124389157</v>
      </c>
      <c r="E10" s="18">
        <f>E6*Assumptions!B9</f>
        <v>17090662.71090754</v>
      </c>
      <c r="F10" s="18">
        <f>F6*Assumptions!B9</f>
        <v>18484691.79735129</v>
      </c>
      <c r="G10" s="18">
        <f>G6*Assumptions!B9</f>
        <v>19783303.615693364</v>
      </c>
      <c r="H10" s="18">
        <f>H6*Assumptions!B9</f>
        <v>20949332.015577998</v>
      </c>
      <c r="I10" s="18">
        <f>I6*Assumptions!B9</f>
        <v>21947079.2106055</v>
      </c>
      <c r="J10" s="18">
        <f>J6*Assumptions!B9</f>
        <v>22744050.9929391</v>
      </c>
      <c r="K10" s="18">
        <f>K6*Assumptions!B9</f>
        <v>23312652.267762575</v>
      </c>
    </row>
    <row r="11" spans="1:11" x14ac:dyDescent="0.25">
      <c r="A11" t="s">
        <v>54</v>
      </c>
      <c r="B11" s="18">
        <f>-B6*B19</f>
        <v>-12696062.940449715</v>
      </c>
      <c r="C11" s="18">
        <f>-C6*C19</f>
        <v>-14476211.221845645</v>
      </c>
      <c r="D11" s="18">
        <f>-D6*D19</f>
        <v>-16330886.377187954</v>
      </c>
      <c r="E11" s="18">
        <f>-E6*E19</f>
        <v>-18226218.50092796</v>
      </c>
      <c r="F11" s="18">
        <f>-F6*F19</f>
        <v>-20122264.24668869</v>
      </c>
      <c r="G11" s="18">
        <f>-G6*G19</f>
        <v>-21974075.398170322</v>
      </c>
      <c r="H11" s="18">
        <f>-H6*H19</f>
        <v>-23733207.12560133</v>
      </c>
      <c r="I11" s="18">
        <f>-I6*I19</f>
        <v>-25349618.032581445</v>
      </c>
      <c r="J11" s="18">
        <f>-J6*J19</f>
        <v>-26773875.42287078</v>
      </c>
      <c r="K11" s="18">
        <f>-K6*K19</f>
        <v>-27959543.563527543</v>
      </c>
    </row>
    <row r="12" spans="1:11" x14ac:dyDescent="0.25">
      <c r="A12" t="s">
        <v>55</v>
      </c>
      <c r="B12" s="18">
        <f>-(B6-Assumptions!B29)*Assumptions!B11</f>
        <v>-351742.6581748322</v>
      </c>
      <c r="C12" s="18">
        <f>-(C6-B6)*Assumptions!B11</f>
        <v>-3515032.6900698785</v>
      </c>
      <c r="D12" s="18">
        <f>-(D6-C6)*Assumptions!B11</f>
        <v>-3536994.932994066</v>
      </c>
      <c r="E12" s="18">
        <f>-(E6-D6)*Assumptions!B11</f>
        <v>-3481463.499694506</v>
      </c>
      <c r="F12" s="18">
        <f>-(F6-E6)*Assumptions!B11</f>
        <v>-3341372.087085991</v>
      </c>
      <c r="G12" s="18">
        <f>-(G6-F6)*Assumptions!B11</f>
        <v>-3112664.8101996295</v>
      </c>
      <c r="H12" s="18">
        <f>-(H6-G6)*Assumptions!B11</f>
        <v>-2794873.353800194</v>
      </c>
      <c r="I12" s="18">
        <f>-(I6-H6)*Assumptions!B11</f>
        <v>-2391517.264491283</v>
      </c>
      <c r="J12" s="18">
        <f>-(J6-I6)*Assumptions!B11</f>
        <v>-1910275.254355048</v>
      </c>
      <c r="K12" s="18">
        <f>-(K6-J6)*Assumptions!B11</f>
        <v>-1362890.0909259017</v>
      </c>
    </row>
    <row r="13" spans="1:11" x14ac:dyDescent="0.25">
      <c r="A13" s="19" t="s">
        <v>56</v>
      </c>
      <c r="B13" s="20">
        <f>B9+B10+B11+B12</f>
        <v>8619590.930749085</v>
      </c>
      <c r="C13" s="20">
        <f>C9+C10+C11+C12</f>
        <v>6178882.781761659</v>
      </c>
      <c r="D13" s="20">
        <f>D9+D10+D11+D12</f>
        <v>6820612.832765479</v>
      </c>
      <c r="E13" s="20">
        <f>E9+E10+E11+E12</f>
        <v>7459640.786286814</v>
      </c>
      <c r="F13" s="20">
        <f>F9+F10+F11+F12</f>
        <v>8082768.93966071</v>
      </c>
      <c r="G13" s="20">
        <f>G9+G10+G11+G12</f>
        <v>8675906.220904578</v>
      </c>
      <c r="H13" s="20">
        <f>H9+H10+H11+H12</f>
        <v>9224537.157743877</v>
      </c>
      <c r="I13" s="20">
        <f>I9+I10+I11+I12</f>
        <v>9714260.926799294</v>
      </c>
      <c r="J13" s="20">
        <f>J9+J10+J11+J12</f>
        <v>10131376.140794938</v>
      </c>
      <c r="K13" s="20">
        <f>K9+K10+K11+K12</f>
        <v>10463481.33401784</v>
      </c>
    </row>
    <row r="14" spans="1:11" x14ac:dyDescent="0.25">
      <c r="A14" t="s">
        <v>57</v>
      </c>
      <c r="B14" s="21">
        <f>1/(1+Assumptions!$B$26)^(1-0.5*Assumptions!$B$32)</f>
        <v>0.9584309126098582</v>
      </c>
      <c r="C14" s="21">
        <f>1/(1+Assumptions!$B$26)^(2-0.5*Assumptions!$B$32)</f>
        <v>0.8804048739820727</v>
      </c>
      <c r="D14" s="21">
        <f>1/(1+Assumptions!$B$26)^(3-0.5*Assumptions!$B$32)</f>
        <v>0.808730949652611</v>
      </c>
      <c r="E14" s="21">
        <f>1/(1+Assumptions!$B$26)^(4-0.5*Assumptions!$B$32)</f>
        <v>0.7428920128165171</v>
      </c>
      <c r="F14" s="21">
        <f>1/(1+Assumptions!$B$26)^(5-0.5*Assumptions!$B$32)</f>
        <v>0.6824130360580846</v>
      </c>
      <c r="G14" s="21">
        <f>1/(1+Assumptions!$B$26)^(6-0.5*Assumptions!$B$32)</f>
        <v>0.6268576640317578</v>
      </c>
      <c r="H14" s="21">
        <f>1/(1+Assumptions!$B$26)^(7-0.5*Assumptions!$B$32)</f>
        <v>0.5758250651617177</v>
      </c>
      <c r="I14" s="21">
        <f>1/(1+Assumptions!$B$26)^(8-0.5*Assumptions!$B$32)</f>
        <v>0.5289470396451885</v>
      </c>
      <c r="J14" s="21">
        <f>1/(1+Assumptions!$B$26)^(9-0.5*Assumptions!$B$32)</f>
        <v>0.48588536289373296</v>
      </c>
      <c r="K14" s="21">
        <f>1/(1+Assumptions!$B$26)^(10-0.5*Assumptions!$B$32)</f>
        <v>0.44632934524548495</v>
      </c>
    </row>
    <row r="15" spans="1:11" x14ac:dyDescent="0.25">
      <c r="A15" s="19" t="s">
        <v>58</v>
      </c>
      <c r="B15" s="20">
        <f>B13*B14</f>
        <v>8261282.402081503</v>
      </c>
      <c r="C15" s="20">
        <f>C13*C14</f>
        <v>5439918.516826873</v>
      </c>
      <c r="D15" s="20">
        <f>D13*D14</f>
        <v>5516040.693455211</v>
      </c>
      <c r="E15" s="20">
        <f>E13*E14</f>
        <v>5541707.558612797</v>
      </c>
      <c r="F15" s="20">
        <f>F13*F14</f>
        <v>5515786.89186985</v>
      </c>
      <c r="G15" s="20">
        <f>G13*G14</f>
        <v>5438558.30699484</v>
      </c>
      <c r="H15" s="20">
        <f>H13*H14</f>
        <v>5311719.709944555</v>
      </c>
      <c r="I15" s="20">
        <f>I13*I14</f>
        <v>5138329.559571411</v>
      </c>
      <c r="J15" s="20">
        <f>J13*J14</f>
        <v>4922687.372783056</v>
      </c>
      <c r="K15" s="20">
        <f>K13*K14</f>
        <v>4670158.772800536</v>
      </c>
    </row>
    <row r="17" spans="1:2" x14ac:dyDescent="0.25">
      <c r="A17" s="22" t="s">
        <v>59</v>
      </c>
      <c r="B17" s="23">
        <f>SUM(B15:K15)</f>
        <v>55756189.78494064</v>
      </c>
    </row>
    <row r="19" spans="1:11" x14ac:dyDescent="0.25">
      <c r="A19" t="s">
        <v>7</v>
      </c>
      <c r="B19" s="9">
        <f>Assumptions!$B$10+($B$20-Assumptions!$B$10)*0/9</f>
        <v>0.05451625582205784</v>
      </c>
      <c r="C19" s="9">
        <f>Assumptions!$B$10+($B$20-Assumptions!$B$10)*1/9</f>
        <v>0.05572366462759745</v>
      </c>
      <c r="D19" s="9">
        <f>Assumptions!$B$10+($B$20-Assumptions!$B$10)*2/9</f>
        <v>0.056931073433137074</v>
      </c>
      <c r="E19" s="9">
        <f>Assumptions!$B$10+($B$20-Assumptions!$B$10)*3/9</f>
        <v>0.05813848223867669</v>
      </c>
      <c r="F19" s="9">
        <f>Assumptions!$B$10+($B$20-Assumptions!$B$10)*4/9</f>
        <v>0.05934589104421631</v>
      </c>
      <c r="G19" s="9">
        <f>Assumptions!$B$10+($B$20-Assumptions!$B$10)*5/9</f>
        <v>0.06055329984975592</v>
      </c>
      <c r="H19" s="9">
        <f>Assumptions!$B$10+($B$20-Assumptions!$B$10)*6/9</f>
        <v>0.061760708655295544</v>
      </c>
      <c r="I19" s="9">
        <f>Assumptions!$B$10+($B$20-Assumptions!$B$10)*7/9</f>
        <v>0.06296811746083517</v>
      </c>
      <c r="J19" s="9">
        <f>Assumptions!$B$10+($B$20-Assumptions!$B$10)*8/9</f>
        <v>0.06417552626637478</v>
      </c>
      <c r="K19" s="9">
        <f>Assumptions!$B$10+($B$20-Assumptions!$B$10)*9/9</f>
        <v>0.0653829350719144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0.0653829350719144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10463481.33401784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16473262.72070871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0.28208688069566923</v>
      </c>
    </row>
    <row r="7" spans="1:2" x14ac:dyDescent="0.25">
      <c r="A7" t="s">
        <v>66</v>
      </c>
      <c r="B7" s="18">
        <f>-MAX(B5,0)*B6</f>
        <v>-4646891.295764973</v>
      </c>
    </row>
    <row r="8" spans="1:2" x14ac:dyDescent="0.25">
      <c r="A8" t="s">
        <v>67</v>
      </c>
      <c r="B8" s="18">
        <f>IF(OR(Assumptions!$B$33=0,Assumptions!B12&lt;=0),B5,MAX(B5+B7,0))</f>
        <v>11826371.424943736</v>
      </c>
    </row>
    <row r="9" spans="1:2" x14ac:dyDescent="0.25">
      <c r="A9" t="s">
        <v>68</v>
      </c>
      <c r="B9" s="18">
        <f>B8*(1+Assumptions!B12)/(Assumptions!B26-Assumptions!B12)</f>
        <v>190522543.12636387</v>
      </c>
    </row>
    <row r="10" spans="1:2" x14ac:dyDescent="0.25">
      <c r="A10" t="s">
        <v>69</v>
      </c>
      <c r="B10" s="18">
        <f>B9/(1+Assumptions!B26)^(10-0.5*Assumptions!B32)</f>
        <v>85035801.92809466</v>
      </c>
    </row>
    <row r="11" spans="1:2" x14ac:dyDescent="0.25">
      <c r="A11" t="s">
        <v>70</v>
      </c>
      <c r="B11" s="18">
        <f>Forecast!B17+B10</f>
        <v>140791991.7130353</v>
      </c>
    </row>
    <row r="12" spans="1:2" x14ac:dyDescent="0.25">
      <c r="A12" t="s">
        <v>71</v>
      </c>
      <c r="B12" s="18">
        <f>-Assumptions!B30</f>
        <v>68540000</v>
      </c>
    </row>
    <row r="13" spans="1:2" x14ac:dyDescent="0.25">
      <c r="A13" t="s">
        <v>72</v>
      </c>
      <c r="B13" s="18">
        <f>B11+B12</f>
        <v>209331991.7130353</v>
      </c>
    </row>
    <row r="14" spans="1:2" x14ac:dyDescent="0.25">
      <c r="A14" s="19" t="s">
        <v>73</v>
      </c>
      <c r="B14" s="24">
        <f>B13/Assumptions!B31</f>
        <v>1.9057536425857395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46192183.82430245</v>
      </c>
    </row>
    <row r="18" spans="1:2" x14ac:dyDescent="0.25">
      <c r="A18" t="s">
        <v>68</v>
      </c>
      <c r="B18" s="18">
        <f>B17*Assumptions!B13</f>
        <v>678789639.7710699</v>
      </c>
    </row>
    <row r="19" spans="1:2" x14ac:dyDescent="0.25">
      <c r="A19" t="s">
        <v>69</v>
      </c>
      <c r="B19" s="18">
        <f>B18/(1+Assumptions!B26)^(10-0.5*Assumptions!B32)</f>
        <v>302963735.4784402</v>
      </c>
    </row>
    <row r="20" spans="1:2" x14ac:dyDescent="0.25">
      <c r="A20" t="s">
        <v>70</v>
      </c>
      <c r="B20" s="18">
        <f>Forecast!B17+B19</f>
        <v>358719925.2633809</v>
      </c>
    </row>
    <row r="21" spans="1:2" x14ac:dyDescent="0.25">
      <c r="A21" t="s">
        <v>71</v>
      </c>
      <c r="B21" s="18">
        <f>-Assumptions!B30</f>
        <v>68540000</v>
      </c>
    </row>
    <row r="22" spans="1:2" x14ac:dyDescent="0.25">
      <c r="A22" t="s">
        <v>72</v>
      </c>
      <c r="B22" s="18">
        <f>B20+B21</f>
        <v>427259925.2633809</v>
      </c>
    </row>
    <row r="23" spans="1:2" x14ac:dyDescent="0.25">
      <c r="A23" s="19" t="s">
        <v>73</v>
      </c>
      <c r="B23" s="25">
        <f>B22/Assumptions!B31</f>
        <v>3.8897645421432965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4.24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1.9057536425857395</v>
      </c>
    </row>
    <row r="29" spans="1:2" x14ac:dyDescent="0.25">
      <c r="A29" s="19" t="s">
        <v>81</v>
      </c>
      <c r="B29" s="11">
        <f>B28/B26-1</f>
        <v>-0.5505298012769482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0.068625</v>
      </c>
      <c r="B5" s="31">
        <v>2.385842299644333</v>
      </c>
      <c r="C5" s="31">
        <v>2.3607397473616274</v>
      </c>
      <c r="D5" s="31">
        <v>2.33563719507892</v>
      </c>
      <c r="E5" s="31">
        <v>2.3105346427962137</v>
      </c>
      <c r="F5" s="31">
        <v>2.2854320905135066</v>
      </c>
    </row>
    <row r="6" spans="1:6" x14ac:dyDescent="0.25">
      <c r="A6" s="30">
        <v>0.078625</v>
      </c>
      <c r="B6" s="31">
        <v>2.1337357569832514</v>
      </c>
      <c r="C6" s="31">
        <v>2.1130417299265396</v>
      </c>
      <c r="D6" s="31">
        <v>2.0923477028698274</v>
      </c>
      <c r="E6" s="31">
        <v>2.0716536758131157</v>
      </c>
      <c r="F6" s="31">
        <v>2.050959648756403</v>
      </c>
    </row>
    <row r="7" spans="1:6" x14ac:dyDescent="0.25">
      <c r="A7" s="30">
        <v>0.088625</v>
      </c>
      <c r="B7" s="31">
        <v>1.9404667936285775</v>
      </c>
      <c r="C7" s="31">
        <v>1.9231116834600555</v>
      </c>
      <c r="D7" s="32">
        <v>1.9057565732915334</v>
      </c>
      <c r="E7" s="31">
        <v>1.8884014631230108</v>
      </c>
      <c r="F7" s="31">
        <v>1.8710463529544883</v>
      </c>
    </row>
    <row r="8" spans="1:6" x14ac:dyDescent="0.25">
      <c r="A8" s="30">
        <v>0.098625</v>
      </c>
      <c r="B8" s="31">
        <v>1.7879949742838985</v>
      </c>
      <c r="C8" s="31">
        <v>1.7732399369815943</v>
      </c>
      <c r="D8" s="31">
        <v>1.7584848996792897</v>
      </c>
      <c r="E8" s="31">
        <v>1.7437298623769852</v>
      </c>
      <c r="F8" s="31">
        <v>1.7289748250746808</v>
      </c>
    </row>
    <row r="9" spans="1:6" x14ac:dyDescent="0.25">
      <c r="A9" s="30">
        <v>0.108625</v>
      </c>
      <c r="B9" s="31">
        <v>1.6649351916694168</v>
      </c>
      <c r="C9" s="31">
        <v>1.6522499025909554</v>
      </c>
      <c r="D9" s="31">
        <v>1.639564613512494</v>
      </c>
      <c r="E9" s="31">
        <v>1.6268793244340327</v>
      </c>
      <c r="F9" s="31">
        <v>1.614194035355571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230194000</v>
      </c>
      <c r="C5" s="18">
        <v>213242000</v>
      </c>
      <c r="D5" s="18">
        <v>169884000</v>
      </c>
      <c r="E5" s="18">
        <v>126299000</v>
      </c>
      <c r="F5" s="6" t="s">
        <v>91</v>
      </c>
    </row>
    <row r="6" spans="1:6" x14ac:dyDescent="0.25">
      <c r="A6" t="s">
        <v>51</v>
      </c>
      <c r="B6" s="18">
        <v>18239000</v>
      </c>
      <c r="C6" s="18">
        <v>14592000</v>
      </c>
      <c r="D6" s="18">
        <v>14741000</v>
      </c>
      <c r="E6" s="18">
        <v>-2579000</v>
      </c>
      <c r="F6" s="6" t="s">
        <v>92</v>
      </c>
    </row>
    <row r="7" spans="1:6" x14ac:dyDescent="0.25">
      <c r="A7" t="s">
        <v>93</v>
      </c>
      <c r="B7" s="18">
        <v>9549000</v>
      </c>
      <c r="C7" s="18">
        <v>8993000</v>
      </c>
      <c r="D7" s="18">
        <v>8451000</v>
      </c>
      <c r="E7" s="18">
        <v>10693000</v>
      </c>
      <c r="F7" s="6" t="s">
        <v>94</v>
      </c>
    </row>
    <row r="8" spans="1:6" x14ac:dyDescent="0.25">
      <c r="A8" t="s">
        <v>95</v>
      </c>
      <c r="B8" s="18">
        <v>1743000</v>
      </c>
      <c r="C8" s="18">
        <v>1087000</v>
      </c>
      <c r="D8" s="18">
        <v>1958000</v>
      </c>
      <c r="E8" s="18">
        <v>986000</v>
      </c>
      <c r="F8" s="6" t="s">
        <v>96</v>
      </c>
    </row>
    <row r="9" spans="1:6" x14ac:dyDescent="0.25">
      <c r="A9" t="s">
        <v>97</v>
      </c>
      <c r="B9" s="18">
        <v>-640000</v>
      </c>
      <c r="C9" s="18">
        <v>-1531000</v>
      </c>
      <c r="D9" s="18">
        <v>1906000</v>
      </c>
      <c r="E9" s="18">
        <v>0</v>
      </c>
      <c r="F9" s="6" t="s">
        <v>98</v>
      </c>
    </row>
    <row r="10" spans="1:6" x14ac:dyDescent="0.25">
      <c r="A10" t="s">
        <v>99</v>
      </c>
      <c r="B10" s="18">
        <v>16276000</v>
      </c>
      <c r="C10" s="18">
        <v>17155000</v>
      </c>
      <c r="D10" s="18">
        <v>17305000</v>
      </c>
      <c r="E10" s="18">
        <v>13082000</v>
      </c>
      <c r="F10" s="6" t="s">
        <v>100</v>
      </c>
    </row>
    <row r="11" spans="1:6" x14ac:dyDescent="0.25">
      <c r="A11" t="s">
        <v>101</v>
      </c>
      <c r="B11" s="18">
        <v>84816000</v>
      </c>
      <c r="C11" s="18">
        <v>66679000</v>
      </c>
      <c r="D11" s="18">
        <v>49186000</v>
      </c>
      <c r="E11" s="18">
        <v>27387000</v>
      </c>
      <c r="F11" s="6" t="s">
        <v>102</v>
      </c>
    </row>
    <row r="12" spans="1:6" x14ac:dyDescent="0.25">
      <c r="A12" t="s">
        <v>34</v>
      </c>
      <c r="B12" s="34">
        <v>109842105</v>
      </c>
      <c r="C12" s="34">
        <v>103112000</v>
      </c>
      <c r="D12" s="34">
        <v>99983000</v>
      </c>
      <c r="E12" s="34">
        <v>99840000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86" customHeight="1" spans="1:6" x14ac:dyDescent="0.25">
      <c r="A17" s="35" t="s">
        <v>106</v>
      </c>
      <c r="B17" s="35"/>
      <c r="C17" s="35"/>
      <c r="D17" s="35"/>
      <c r="E17" s="35"/>
      <c r="F17" s="35"/>
    </row>
    <row r="18" ht="22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