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<sst xmlns="http://schemas.openxmlformats.org/spreadsheetml/2006/main" count="121" uniqueCount="108">
  <si>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W.W. Grainger, Inc. (GWW)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</si>
  <si>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</si>
  <si>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</si>
  <si>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</si>
  <si>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</si>
  <si>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</si>
  <si>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</si>
  <si>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</si>
  <si>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</si>
  <si>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</si>
  <si>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</si>
  <si>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</si>
  <si>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</si>
  <si>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</si>
  <si>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</si>
  <si>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</si>
  <si>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</si>
  <si>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</si>
  <si>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</si>
  <si>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</si>
  <si>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</si>
  <si>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</si>
  <si>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</si>
  <si>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</si>
  <si>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30.8x interest cover. Book interest / average debt was lower, at 2.7%.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</si>
  <si>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</si>
  <si>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</si>
  <si>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</si>
  <si>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</si>
  <si>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</si>
  <si>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</si>
  <si>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</si>
  <si>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</si>
  <si>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</si>
  <si>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</si>
  <si>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</si>
  <si>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</si>
  <si>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</si>
  <si>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</si>
  <si>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</si>
  <si>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</si>
  <si>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</si>
  <si>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</si>
  <si>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</si>
  <si>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</si>
  <si>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</si>
  <si>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</si>
  <si>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</si>
  <si>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</si>
  <si>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</si>
  <si>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</si>
  <si>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</si>
  <si>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</si>
  <si>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</si>
  <si>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</si>
  <si>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</si>
  <si>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</si>
  <si>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</si>
  <si>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</si>
  <si>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</si>
  <si>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</si>
  <si>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</si>
  <si>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</si>
  <si>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</si>
  <si>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</si>
  <si>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</si>
  <si>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</si>
  <si>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</si>
  <si>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</si>
  <si>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</si>
  <si>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</si>
  <si>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</si>
  <si>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</si>
  <si>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</si>
  <si>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</si>
  <si>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</si>
  <si>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</si>
  <si>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</si>
  <si>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</si>
  <si>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</si>
  <si>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</si>
  <si>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</si>
  <si>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</si>
  <si>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</si>
  <si>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</si>
  <si>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</si>
  <si>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</si>
  <si>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</si>
  <si>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</si>
  <si>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</si>
  <si>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</si>
  <si>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</si>
  <si>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</si>
  <si>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</si>
  <si>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</si>
  <si>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</si>
  <si>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</si>
  <si>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</si>
  <si>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</si>
  <si>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</si>
  <si>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</si>
  <si>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</si>
  <si>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</si>
  <si>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</si>
  <si>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</si>
  <si>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2.8% of revenue against depreciation of 1.4%.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</si>
  <si>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24.1x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</si>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</sst>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0.09627692230520557</v>
      </c>
    </row>
    <row r="7" spans="1:2" x14ac:dyDescent="0.25">
      <c r="A7" t="s">
        <v>4</v>
      </c>
      <c r="B7" s="5">
        <v>0.14844418636938472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0.013602634212996036</v>
      </c>
    </row>
    <row r="10" spans="1:3" x14ac:dyDescent="0.25">
      <c r="A10" t="s">
        <v>7</v>
      </c>
      <c r="B10" s="5">
        <v>0.028362949445305225</v>
      </c>
      <c r="C10" s="6" t="s">
        <v>8</v>
      </c>
    </row>
    <row r="11" spans="1:2" x14ac:dyDescent="0.25">
      <c r="A11" t="s">
        <v>9</v>
      </c>
      <c r="B11" s="5">
        <v>0.21110565853595575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0.35360112250774145</v>
      </c>
      <c r="C14" s="6" t="s">
        <v>13</v>
      </c>
    </row>
    <row r="15" spans="1:3" x14ac:dyDescent="0.25">
      <c r="A15" t="s">
        <v>14</v>
      </c>
      <c r="B15" s="5">
        <v>0.013602634212996036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1.0087099999999998</v>
      </c>
      <c r="C19" s="6" t="s">
        <v>21</v>
      </c>
    </row>
    <row r="20" spans="1:2" x14ac:dyDescent="0.25">
      <c r="A20" t="s">
        <v>22</v>
      </c>
      <c r="B20" s="9">
        <f>B17+B19*B18</f>
        <v>0.09160843299999999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64018190336</v>
      </c>
    </row>
    <row r="23" spans="1:2" x14ac:dyDescent="0.25">
      <c r="A23" t="s">
        <v>26</v>
      </c>
      <c r="B23" s="10">
        <v>2862000000</v>
      </c>
    </row>
    <row r="24" spans="1:2" x14ac:dyDescent="0.25">
      <c r="A24" t="s">
        <v>27</v>
      </c>
      <c r="B24" s="9">
        <f>B22/(B22+B23)</f>
        <v>0.957207059584885</v>
      </c>
    </row>
    <row r="25" spans="1:2" x14ac:dyDescent="0.25">
      <c r="A25" t="s">
        <v>28</v>
      </c>
      <c r="B25" s="9">
        <f>1-B24</f>
        <v>0.042792940415115055</v>
      </c>
    </row>
    <row r="26" spans="1:2" x14ac:dyDescent="0.25">
      <c r="A26" t="s">
        <v>29</v>
      </c>
      <c r="B26" s="11">
        <f>B24*B20+B25*B21*(1-B8)</f>
        <v>0.08947795081491411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17942000000</v>
      </c>
      <c r="C29" s="6" t="s">
        <v>32</v>
      </c>
    </row>
    <row r="30" spans="1:2" x14ac:dyDescent="0.25">
      <c r="A30" t="s">
        <v>33</v>
      </c>
      <c r="B30" s="10">
        <v>2277000000</v>
      </c>
    </row>
    <row r="31" spans="1:2" x14ac:dyDescent="0.25">
      <c r="A31" t="s">
        <v>34</v>
      </c>
      <c r="B31" s="12">
        <v>48000000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0.09627692230520557</v>
      </c>
      <c r="C5" s="5">
        <v>0.07157366627097006</v>
      </c>
      <c r="D5" s="5">
        <v>0.0657519579870988</v>
      </c>
      <c r="E5" s="5">
        <v>0.059930249703227544</v>
      </c>
      <c r="F5" s="5">
        <v>0.05410854141935629</v>
      </c>
      <c r="G5" s="5">
        <v>0.04828683313548503</v>
      </c>
      <c r="H5" s="5">
        <v>0.04246512485161377</v>
      </c>
      <c r="I5" s="5">
        <v>0.03664341656774252</v>
      </c>
      <c r="J5" s="5">
        <v>0.030821708283871256</v>
      </c>
      <c r="K5" s="5">
        <v>0.025</v>
      </c>
    </row>
    <row r="6" spans="1:11" x14ac:dyDescent="0.25">
      <c r="A6" t="s">
        <v>50</v>
      </c>
      <c r="B6" s="18">
        <f>Assumptions!B29*(1+B5)</f>
        <v>19669400540</v>
      </c>
      <c r="C6" s="18">
        <f>B6*(1+C5)</f>
        <v>21077211650</v>
      </c>
      <c r="D6" s="18">
        <f>C6*(1+D5)</f>
        <v>22463079584.895992</v>
      </c>
      <c r="E6" s="18">
        <f>D6*(1+E5)</f>
        <v>23809297553.52228</v>
      </c>
      <c r="F6" s="18">
        <f>E6*(1+F5)</f>
        <v>25097583916.36282</v>
      </c>
      <c r="G6" s="18">
        <f>F6*(1+G5)</f>
        <v>26309466763.036064</v>
      </c>
      <c r="H6" s="18">
        <f>G6*(1+H5)</f>
        <v>27426701553.907772</v>
      </c>
      <c r="I6" s="18">
        <f>H6*(1+I5)</f>
        <v>28431709604.026764</v>
      </c>
      <c r="J6" s="18">
        <f>I6*(1+J5)</f>
        <v>29308023463.45382</v>
      </c>
      <c r="K6" s="18">
        <f>J6*(1+K5)</f>
        <v>30040724050.04016</v>
      </c>
    </row>
    <row r="7" spans="1:11" x14ac:dyDescent="0.25">
      <c r="A7" t="s">
        <v>4</v>
      </c>
      <c r="B7" s="9">
        <f>Assumptions!B7</f>
        <v>0.14844418636938472</v>
      </c>
      <c r="C7" s="9">
        <f>Assumptions!B7</f>
        <v>0.14844418636938472</v>
      </c>
      <c r="D7" s="9">
        <f>Assumptions!B7</f>
        <v>0.14844418636938472</v>
      </c>
      <c r="E7" s="9">
        <f>Assumptions!B7</f>
        <v>0.14844418636938472</v>
      </c>
      <c r="F7" s="9">
        <f>Assumptions!B7</f>
        <v>0.14844418636938472</v>
      </c>
      <c r="G7" s="9">
        <f>Assumptions!B7</f>
        <v>0.14844418636938472</v>
      </c>
      <c r="H7" s="9">
        <f>Assumptions!B7</f>
        <v>0.14844418636938472</v>
      </c>
      <c r="I7" s="9">
        <f>Assumptions!B7</f>
        <v>0.14844418636938472</v>
      </c>
      <c r="J7" s="9">
        <f>Assumptions!B7</f>
        <v>0.14844418636938472</v>
      </c>
      <c r="K7" s="9">
        <f>Assumptions!B7</f>
        <v>0.14844418636938472</v>
      </c>
    </row>
    <row r="8" spans="1:11" x14ac:dyDescent="0.25">
      <c r="A8" t="s">
        <v>51</v>
      </c>
      <c r="B8" s="18">
        <f>B6*B7</f>
        <v>2919808159.5338364</v>
      </c>
      <c r="C8" s="18">
        <f>C6*C7</f>
        <v>3128789534.3195667</v>
      </c>
      <c r="D8" s="18">
        <f>D6*D7</f>
        <v>3334513572.3306217</v>
      </c>
      <c r="E8" s="18">
        <f>E6*E7</f>
        <v>3534351803.359197</v>
      </c>
      <c r="F8" s="18">
        <f>F6*F7</f>
        <v>3725590424.301835</v>
      </c>
      <c r="G8" s="18">
        <f>G6*G7</f>
        <v>3905487387.4512587</v>
      </c>
      <c r="H8" s="18">
        <f>H6*H7</f>
        <v>4071334396.965779</v>
      </c>
      <c r="I8" s="18">
        <f>I6*I7</f>
        <v>4220521999.2603745</v>
      </c>
      <c r="J8" s="18">
        <f>J6*J7</f>
        <v>4350605697.127239</v>
      </c>
      <c r="K8" s="18">
        <f>K6*K7</f>
        <v>4459370839.55542</v>
      </c>
    </row>
    <row r="9" spans="1:11" x14ac:dyDescent="0.25">
      <c r="A9" t="s">
        <v>52</v>
      </c>
      <c r="B9" s="18">
        <f>B8*(1-Assumptions!B8)</f>
        <v>2306648446.0317307</v>
      </c>
      <c r="C9" s="18">
        <f>C8*(1-Assumptions!B8)</f>
        <v>2471743732.1124578</v>
      </c>
      <c r="D9" s="18">
        <f>D8*(1-Assumptions!B8)</f>
        <v>2634265722.1411915</v>
      </c>
      <c r="E9" s="18">
        <f>E8*(1-Assumptions!B8)</f>
        <v>2792137924.6537657</v>
      </c>
      <c r="F9" s="18">
        <f>F8*(1-Assumptions!B8)</f>
        <v>2943216435.1984496</v>
      </c>
      <c r="G9" s="18">
        <f>G8*(1-Assumptions!B8)</f>
        <v>3085335036.0864944</v>
      </c>
      <c r="H9" s="18">
        <f>H8*(1-Assumptions!B8)</f>
        <v>3216354173.6029654</v>
      </c>
      <c r="I9" s="18">
        <f>I8*(1-Assumptions!B8)</f>
        <v>3334212379.415696</v>
      </c>
      <c r="J9" s="18">
        <f>J8*(1-Assumptions!B8)</f>
        <v>3436978500.7305193</v>
      </c>
      <c r="K9" s="18">
        <f>K8*(1-Assumptions!B8)</f>
        <v>3522902963.2487817</v>
      </c>
    </row>
    <row r="10" spans="1:11" x14ac:dyDescent="0.25">
      <c r="A10" t="s">
        <v>53</v>
      </c>
      <c r="B10" s="18">
        <f>B6*Assumptions!B9</f>
        <v>267555660.73452672</v>
      </c>
      <c r="C10" s="18">
        <f>C6*Assumptions!B9</f>
        <v>286705600.3048486</v>
      </c>
      <c r="D10" s="18">
        <f>D6*Assumptions!B9</f>
        <v>305557054.89075905</v>
      </c>
      <c r="E10" s="18">
        <f>E6*Assumptions!B9</f>
        <v>323869165.488945</v>
      </c>
      <c r="F10" s="18">
        <f>F6*Assumptions!B9</f>
        <v>341393253.64425594</v>
      </c>
      <c r="G10" s="18">
        <f>G6*Assumptions!B9</f>
        <v>357878052.71655643</v>
      </c>
      <c r="H10" s="18">
        <f>H6*Assumptions!B9</f>
        <v>373075388.90681744</v>
      </c>
      <c r="I10" s="18">
        <f>I6*Assumptions!B9</f>
        <v>386746145.7937024</v>
      </c>
      <c r="J10" s="18">
        <f>J6*Assumptions!B9</f>
        <v>398666322.6792675</v>
      </c>
      <c r="K10" s="18">
        <f>K6*Assumptions!B9</f>
        <v>408632980.74624914</v>
      </c>
    </row>
    <row r="11" spans="1:11" x14ac:dyDescent="0.25">
      <c r="A11" t="s">
        <v>54</v>
      </c>
      <c r="B11" s="18">
        <f>-B6*B19</f>
        <v>-557882213.1354793</v>
      </c>
      <c r="C11" s="18">
        <f>-C6*C19</f>
        <v>-582661754.502974</v>
      </c>
      <c r="D11" s="18">
        <f>-D6*D19</f>
        <v>-604826620.759213</v>
      </c>
      <c r="E11" s="18">
        <f>-E6*E19</f>
        <v>-623960095.3333169</v>
      </c>
      <c r="F11" s="18">
        <f>-F6*F19</f>
        <v>-639681720.0545454</v>
      </c>
      <c r="G11" s="18">
        <f>-G6*G19</f>
        <v>-651658886.7300665</v>
      </c>
      <c r="H11" s="18">
        <f>-H6*H19</f>
        <v>-659617565.333875</v>
      </c>
      <c r="I11" s="18">
        <f>-I6*I19</f>
        <v>-663351717.2913365</v>
      </c>
      <c r="J11" s="18">
        <f>-J6*J19</f>
        <v>-662730973.6363716</v>
      </c>
      <c r="K11" s="18">
        <f>-K6*K19</f>
        <v>-657706211.7829841</v>
      </c>
    </row>
    <row r="12" spans="1:11" x14ac:dyDescent="0.25">
      <c r="A12" t="s">
        <v>55</v>
      </c>
      <c r="B12" s="18">
        <f>-(B6-Assumptions!B29)*Assumptions!B11</f>
        <v>-364664028.55206555</v>
      </c>
      <c r="C12" s="18">
        <f>-(C6-B6)*Assumptions!B11</f>
        <v>-297196891.47078484</v>
      </c>
      <c r="D12" s="18">
        <f>-(D6-C6)*Assumptions!B11</f>
        <v>-292564563.0400835</v>
      </c>
      <c r="E12" s="18">
        <f>-(E6-D6)*Assumptions!B11</f>
        <v>-284194230.7997894</v>
      </c>
      <c r="F12" s="18">
        <f>-(F6-E6)*Assumptions!B11</f>
        <v>-271964541.010343</v>
      </c>
      <c r="G12" s="18">
        <f>-(G6-F6)*Assumptions!B11</f>
        <v>-255835326.41538396</v>
      </c>
      <c r="H12" s="18">
        <f>-(H6-G6)*Assumptions!B11</f>
        <v>-235854586.2662527</v>
      </c>
      <c r="I12" s="18">
        <f>-(I6-H6)*Assumptions!B11</f>
        <v>-212162886.2543066</v>
      </c>
      <c r="J12" s="18">
        <f>-(J6-I6)*Assumptions!B11</f>
        <v>-184994814.37853348</v>
      </c>
      <c r="K12" s="18">
        <f>-(K6-J6)*Assumptions!B11</f>
        <v>-154677239.84099075</v>
      </c>
    </row>
    <row r="13" spans="1:11" x14ac:dyDescent="0.25">
      <c r="A13" s="19" t="s">
        <v>56</v>
      </c>
      <c r="B13" s="20">
        <f>B9+B10+B11+B12</f>
        <v>1651657865.0787122</v>
      </c>
      <c r="C13" s="20">
        <f>C9+C10+C11+C12</f>
        <v>1878590686.4435475</v>
      </c>
      <c r="D13" s="20">
        <f>D9+D10+D11+D12</f>
        <v>2042431593.232654</v>
      </c>
      <c r="E13" s="20">
        <f>E9+E10+E11+E12</f>
        <v>2207852764.0096045</v>
      </c>
      <c r="F13" s="20">
        <f>F9+F10+F11+F12</f>
        <v>2372963427.7778172</v>
      </c>
      <c r="G13" s="20">
        <f>G9+G10+G11+G12</f>
        <v>2535718875.657601</v>
      </c>
      <c r="H13" s="20">
        <f>H9+H10+H11+H12</f>
        <v>2693957410.9096556</v>
      </c>
      <c r="I13" s="20">
        <f>I9+I10+I11+I12</f>
        <v>2845443921.6637554</v>
      </c>
      <c r="J13" s="20">
        <f>J9+J10+J11+J12</f>
        <v>2987919035.3948817</v>
      </c>
      <c r="K13" s="20">
        <f>K9+K10+K11+K12</f>
        <v>3119152492.371056</v>
      </c>
    </row>
    <row r="14" spans="1:11" x14ac:dyDescent="0.25">
      <c r="A14" t="s">
        <v>57</v>
      </c>
      <c r="B14" s="21">
        <f>1/(1+Assumptions!$B$26)^(1-0.5*Assumptions!$B$32)</f>
        <v>0.9580557403216555</v>
      </c>
      <c r="C14" s="21">
        <f>1/(1+Assumptions!$B$26)^(2-0.5*Assumptions!$B$32)</f>
        <v>0.8793713903113352</v>
      </c>
      <c r="D14" s="21">
        <f>1/(1+Assumptions!$B$26)^(3-0.5*Assumptions!$B$32)</f>
        <v>0.8071493228968771</v>
      </c>
      <c r="E14" s="21">
        <f>1/(1+Assumptions!$B$26)^(4-0.5*Assumptions!$B$32)</f>
        <v>0.7408587959886116</v>
      </c>
      <c r="F14" s="21">
        <f>1/(1+Assumptions!$B$26)^(5-0.5*Assumptions!$B$32)</f>
        <v>0.68001265691927</v>
      </c>
      <c r="G14" s="21">
        <f>1/(1+Assumptions!$B$26)^(6-0.5*Assumptions!$B$32)</f>
        <v>0.6241637624796631</v>
      </c>
      <c r="H14" s="21">
        <f>1/(1+Assumptions!$B$26)^(7-0.5*Assumptions!$B$32)</f>
        <v>0.5729016929739581</v>
      </c>
      <c r="I14" s="21">
        <f>1/(1+Assumptions!$B$26)^(8-0.5*Assumptions!$B$32)</f>
        <v>0.5258497361469645</v>
      </c>
      <c r="J14" s="21">
        <f>1/(1+Assumptions!$B$26)^(9-0.5*Assumptions!$B$32)</f>
        <v>0.4826621188190512</v>
      </c>
      <c r="K14" s="21">
        <f>1/(1+Assumptions!$B$26)^(10-0.5*Assumptions!$B$32)</f>
        <v>0.4430214658846714</v>
      </c>
    </row>
    <row r="15" spans="1:11" x14ac:dyDescent="0.25">
      <c r="A15" s="19" t="s">
        <v>58</v>
      </c>
      <c r="B15" s="20">
        <f>B13*B14</f>
        <v>1582380298.6860707</v>
      </c>
      <c r="C15" s="20">
        <f>C13*C14</f>
        <v>1651978903.7637877</v>
      </c>
      <c r="D15" s="20">
        <f>D13*D14</f>
        <v>1648547277.5409267</v>
      </c>
      <c r="E15" s="20">
        <f>E13*E14</f>
        <v>1635707140.4642837</v>
      </c>
      <c r="F15" s="20">
        <f>F13*F14</f>
        <v>1613645165.2954519</v>
      </c>
      <c r="G15" s="20">
        <f>G13*G14</f>
        <v>1582703834.0211492</v>
      </c>
      <c r="H15" s="20">
        <f>H13*H14</f>
        <v>1543372761.5098827</v>
      </c>
      <c r="I15" s="20">
        <f>I13*I14</f>
        <v>1496275935.4278698</v>
      </c>
      <c r="J15" s="20">
        <f>J13*J14</f>
        <v>1442155332.4834692</v>
      </c>
      <c r="K15" s="20">
        <f>K13*K14</f>
        <v>1381851509.4880517</v>
      </c>
    </row>
    <row r="17" spans="1:2" x14ac:dyDescent="0.25">
      <c r="A17" s="22" t="s">
        <v>59</v>
      </c>
      <c r="B17" s="23">
        <f>SUM(B15:K15)</f>
        <v>15578618158.680944</v>
      </c>
    </row>
    <row r="19" spans="1:11" x14ac:dyDescent="0.25">
      <c r="A19" t="s">
        <v>7</v>
      </c>
      <c r="B19" s="9">
        <f>Assumptions!$B$10+($B$20-Assumptions!$B$10)*0/9</f>
        <v>0.028362949445305225</v>
      </c>
      <c r="C19" s="9">
        <f>Assumptions!$B$10+($B$20-Assumptions!$B$10)*1/9</f>
        <v>0.027644157309725265</v>
      </c>
      <c r="D19" s="9">
        <f>Assumptions!$B$10+($B$20-Assumptions!$B$10)*2/9</f>
        <v>0.026925365174145306</v>
      </c>
      <c r="E19" s="9">
        <f>Assumptions!$B$10+($B$20-Assumptions!$B$10)*3/9</f>
        <v>0.026206573038565346</v>
      </c>
      <c r="F19" s="9">
        <f>Assumptions!$B$10+($B$20-Assumptions!$B$10)*4/9</f>
        <v>0.025487780902985386</v>
      </c>
      <c r="G19" s="9">
        <f>Assumptions!$B$10+($B$20-Assumptions!$B$10)*5/9</f>
        <v>0.024768988767405423</v>
      </c>
      <c r="H19" s="9">
        <f>Assumptions!$B$10+($B$20-Assumptions!$B$10)*6/9</f>
        <v>0.024050196631825463</v>
      </c>
      <c r="I19" s="9">
        <f>Assumptions!$B$10+($B$20-Assumptions!$B$10)*7/9</f>
        <v>0.023331404496245503</v>
      </c>
      <c r="J19" s="9">
        <f>Assumptions!$B$10+($B$20-Assumptions!$B$10)*8/9</f>
        <v>0.022612612360665543</v>
      </c>
      <c r="K19" s="9">
        <f>Assumptions!$B$10+($B$20-Assumptions!$B$10)*9/9</f>
        <v>0.021893820225085583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0.021893820225085583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3119152492.371056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3522902963.2487817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0.07070113302440852</v>
      </c>
    </row>
    <row r="7" spans="1:2" x14ac:dyDescent="0.25">
      <c r="A7" t="s">
        <v>66</v>
      </c>
      <c r="B7" s="18">
        <f>-MAX(B5,0)*B6</f>
        <v>-249073231.03673506</v>
      </c>
    </row>
    <row r="8" spans="1:2" x14ac:dyDescent="0.25">
      <c r="A8" t="s">
        <v>67</v>
      </c>
      <c r="B8" s="18">
        <f>IF(OR(Assumptions!$B$33=0,Assumptions!B12&lt;=0),B5,MAX(B5+B7,0))</f>
        <v>3273829732.2120466</v>
      </c>
    </row>
    <row r="9" spans="1:2" x14ac:dyDescent="0.25">
      <c r="A9" t="s">
        <v>68</v>
      </c>
      <c r="B9" s="18">
        <f>B8*(1+Assumptions!B12)/(Assumptions!B26-Assumptions!B12)</f>
        <v>52043767413.60646</v>
      </c>
    </row>
    <row r="10" spans="1:2" x14ac:dyDescent="0.25">
      <c r="A10" t="s">
        <v>69</v>
      </c>
      <c r="B10" s="18">
        <f>B9/(1+Assumptions!B26)^(10-0.5*Assumptions!B32)</f>
        <v>23056506129.736828</v>
      </c>
    </row>
    <row r="11" spans="1:2" x14ac:dyDescent="0.25">
      <c r="A11" t="s">
        <v>70</v>
      </c>
      <c r="B11" s="18">
        <f>Forecast!B17+B10</f>
        <v>38635124288.41777</v>
      </c>
    </row>
    <row r="12" spans="1:2" x14ac:dyDescent="0.25">
      <c r="A12" t="s">
        <v>71</v>
      </c>
      <c r="B12" s="18">
        <f>-Assumptions!B30</f>
        <v>-2277000000</v>
      </c>
    </row>
    <row r="13" spans="1:2" x14ac:dyDescent="0.25">
      <c r="A13" t="s">
        <v>72</v>
      </c>
      <c r="B13" s="18">
        <f>B11+B12</f>
        <v>36358124288.41777</v>
      </c>
    </row>
    <row r="14" spans="1:2" x14ac:dyDescent="0.25">
      <c r="A14" s="19" t="s">
        <v>73</v>
      </c>
      <c r="B14" s="24">
        <f>B13/Assumptions!B31</f>
        <v>757.4609226753702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4868003820.301669</v>
      </c>
    </row>
    <row r="18" spans="1:2" x14ac:dyDescent="0.25">
      <c r="A18" t="s">
        <v>68</v>
      </c>
      <c r="B18" s="18">
        <f>B17*Assumptions!B13</f>
        <v>97360076406.03339</v>
      </c>
    </row>
    <row r="19" spans="1:2" x14ac:dyDescent="0.25">
      <c r="A19" t="s">
        <v>69</v>
      </c>
      <c r="B19" s="18">
        <f>B18/(1+Assumptions!B26)^(10-0.5*Assumptions!B32)</f>
        <v>43132603768.04452</v>
      </c>
    </row>
    <row r="20" spans="1:2" x14ac:dyDescent="0.25">
      <c r="A20" t="s">
        <v>70</v>
      </c>
      <c r="B20" s="18">
        <f>Forecast!B17+B19</f>
        <v>58711221926.725464</v>
      </c>
    </row>
    <row r="21" spans="1:2" x14ac:dyDescent="0.25">
      <c r="A21" t="s">
        <v>71</v>
      </c>
      <c r="B21" s="18">
        <f>-Assumptions!B30</f>
        <v>-2277000000</v>
      </c>
    </row>
    <row r="22" spans="1:2" x14ac:dyDescent="0.25">
      <c r="A22" t="s">
        <v>72</v>
      </c>
      <c r="B22" s="18">
        <f>B20+B21</f>
        <v>56434221926.725464</v>
      </c>
    </row>
    <row r="23" spans="1:2" x14ac:dyDescent="0.25">
      <c r="A23" s="19" t="s">
        <v>73</v>
      </c>
      <c r="B23" s="25">
        <f>B22/Assumptions!B31</f>
        <v>1175.7129568067805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1359.17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757.4609226753702</v>
      </c>
    </row>
    <row r="29" spans="1:2" x14ac:dyDescent="0.25">
      <c r="A29" s="19" t="s">
        <v>81</v>
      </c>
      <c r="B29" s="11">
        <f>B28/B26-1</f>
        <v>-0.44270332432633874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0.069478</v>
      </c>
      <c r="B5" s="31">
        <v>1005.9306087464358</v>
      </c>
      <c r="C5" s="31">
        <v>1065.2885033001378</v>
      </c>
      <c r="D5" s="31">
        <v>1138.5421826720637</v>
      </c>
      <c r="E5" s="31">
        <v>1230.9714678327146</v>
      </c>
      <c r="F5" s="31">
        <v>1350.9188985706746</v>
      </c>
    </row>
    <row r="6" spans="1:6" x14ac:dyDescent="0.25">
      <c r="A6" s="30">
        <v>0.079478</v>
      </c>
      <c r="B6" s="31">
        <v>832.7462367860818</v>
      </c>
      <c r="C6" s="31">
        <v>869.156281115402</v>
      </c>
      <c r="D6" s="31">
        <v>912.6744519651445</v>
      </c>
      <c r="E6" s="31">
        <v>965.4556848178746</v>
      </c>
      <c r="F6" s="31">
        <v>1030.6239045363288</v>
      </c>
    </row>
    <row r="7" spans="1:6" x14ac:dyDescent="0.25">
      <c r="A7" s="30">
        <v>0.089478</v>
      </c>
      <c r="B7" s="31">
        <v>706.73710270224</v>
      </c>
      <c r="C7" s="31">
        <v>730.1160300822735</v>
      </c>
      <c r="D7" s="32">
        <v>757.4602790299358</v>
      </c>
      <c r="E7" s="31">
        <v>789.7698802038644</v>
      </c>
      <c r="F7" s="31">
        <v>828.4119961906812</v>
      </c>
    </row>
    <row r="8" spans="1:6" x14ac:dyDescent="0.25">
      <c r="A8" s="30">
        <v>0.099478</v>
      </c>
      <c r="B8" s="31">
        <v>611.1027189026781</v>
      </c>
      <c r="C8" s="31">
        <v>626.5726756581649</v>
      </c>
      <c r="D8" s="31">
        <v>644.3979843833889</v>
      </c>
      <c r="E8" s="31">
        <v>665.08715539163</v>
      </c>
      <c r="F8" s="31">
        <v>689.3064304125518</v>
      </c>
    </row>
    <row r="9" spans="1:6" x14ac:dyDescent="0.25">
      <c r="A9" s="30">
        <v>0.109478</v>
      </c>
      <c r="B9" s="31">
        <v>536.1594979097505</v>
      </c>
      <c r="C9" s="31">
        <v>546.5886659734858</v>
      </c>
      <c r="D9" s="31">
        <v>558.4848175707493</v>
      </c>
      <c r="E9" s="31">
        <v>572.1248186644858</v>
      </c>
      <c r="F9" s="31">
        <v>587.8598836058737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17942000000</v>
      </c>
      <c r="C5" s="18">
        <v>17168000000</v>
      </c>
      <c r="D5" s="18">
        <v>16478000000</v>
      </c>
      <c r="E5" s="18">
        <v>15228000000</v>
      </c>
      <c r="F5" s="6" t="s">
        <v>91</v>
      </c>
    </row>
    <row r="6" spans="1:6" x14ac:dyDescent="0.25">
      <c r="A6" t="s">
        <v>51</v>
      </c>
      <c r="B6" s="18">
        <v>2495000000</v>
      </c>
      <c r="C6" s="18">
        <v>2637000000</v>
      </c>
      <c r="D6" s="18">
        <v>2565000000</v>
      </c>
      <c r="E6" s="18">
        <v>2215000000</v>
      </c>
      <c r="F6" s="6" t="s">
        <v>92</v>
      </c>
    </row>
    <row r="7" spans="1:6" x14ac:dyDescent="0.25">
      <c r="A7" t="s">
        <v>93</v>
      </c>
      <c r="B7" s="18">
        <v>254000000</v>
      </c>
      <c r="C7" s="18">
        <v>237000000</v>
      </c>
      <c r="D7" s="18">
        <v>214000000</v>
      </c>
      <c r="E7" s="18">
        <v>205000000</v>
      </c>
      <c r="F7" s="6" t="s">
        <v>94</v>
      </c>
    </row>
    <row r="8" spans="1:6" x14ac:dyDescent="0.25">
      <c r="A8" t="s">
        <v>95</v>
      </c>
      <c r="B8" s="18">
        <v>684000000</v>
      </c>
      <c r="C8" s="18">
        <v>541000000</v>
      </c>
      <c r="D8" s="18">
        <v>445000000</v>
      </c>
      <c r="E8" s="18">
        <v>256000000</v>
      </c>
      <c r="F8" s="6" t="s">
        <v>96</v>
      </c>
    </row>
    <row r="9" spans="1:6" x14ac:dyDescent="0.25">
      <c r="A9" t="s">
        <v>97</v>
      </c>
      <c r="B9" s="18">
        <v>428000000</v>
      </c>
      <c r="C9" s="18">
        <v>276000000</v>
      </c>
      <c r="D9" s="18">
        <v>255000000</v>
      </c>
      <c r="E9" s="18">
        <v>616000000</v>
      </c>
      <c r="F9" s="6" t="s">
        <v>98</v>
      </c>
    </row>
    <row r="10" spans="1:6" x14ac:dyDescent="0.25">
      <c r="A10" t="s">
        <v>99</v>
      </c>
      <c r="B10" s="18">
        <v>2862000000</v>
      </c>
      <c r="C10" s="18">
        <v>3183000000</v>
      </c>
      <c r="D10" s="18">
        <v>2752000000</v>
      </c>
      <c r="E10" s="18">
        <v>2705000000</v>
      </c>
      <c r="F10" s="6" t="s">
        <v>100</v>
      </c>
    </row>
    <row r="11" spans="1:6" x14ac:dyDescent="0.25">
      <c r="A11" t="s">
        <v>101</v>
      </c>
      <c r="B11" s="18">
        <v>585000000</v>
      </c>
      <c r="C11" s="18">
        <v>1036000000</v>
      </c>
      <c r="D11" s="18">
        <v>660000000</v>
      </c>
      <c r="E11" s="18">
        <v>325000000</v>
      </c>
      <c r="F11" s="6" t="s">
        <v>102</v>
      </c>
    </row>
    <row r="12" spans="1:6" x14ac:dyDescent="0.25">
      <c r="A12" t="s">
        <v>34</v>
      </c>
      <c r="B12" s="34">
        <v>48000000</v>
      </c>
      <c r="C12" s="34">
        <v>49000000</v>
      </c>
      <c r="D12" s="34">
        <v>50100000</v>
      </c>
      <c r="E12" s="34">
        <v>51100000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