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<sst xmlns="http://schemas.openxmlformats.org/spreadsheetml/2006/main" count="113" uniqueCount="101">
  <si>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W.W. Grainger, Inc. (GWW)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</si>
  <si>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</si>
  <si>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</si>
  <si>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</si>
  <si>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</si>
  <si>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</si>
  <si>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</si>
  <si>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</si>
  <si>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</si>
  <si>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</si>
  <si>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</si>
  <si>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</si>
  <si>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</si>
  <si>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</si>
  <si>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</si>
  <si>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</si>
  <si>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</si>
  <si>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</si>
  <si>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</si>
  <si>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</si>
  <si>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</si>
  <si>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</si>
  <si>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</si>
  <si>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</si>
  <si>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</si>
  <si>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</si>
  <si>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</si>
  <si>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</si>
  <si>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</si>
  <si>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</si>
  <si>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</si>
  <si>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</si>
  <si>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</si>
  <si>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</si>
  <si>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</si>
  <si>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</si>
  <si>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</si>
  <si>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</si>
  <si>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</si>
  <si>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</si>
  <si>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</si>
  <si>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</si>
  <si>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</si>
  <si>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</si>
  <si>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</si>
  <si>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</si>
  <si>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</si>
  <si>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</si>
  <si>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</si>
  <si>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</si>
  <si>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</si>
  <si>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</si>
  <si>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</si>
  <si>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</si>
  <si>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</si>
  <si>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</si>
  <si>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</si>
  <si>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</si>
  <si>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</si>
  <si>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</si>
  <si>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</si>
  <si>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</si>
  <si>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</si>
  <si>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</si>
  <si>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</si>
  <si>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</si>
  <si>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</si>
  <si>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</si>
  <si>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</si>
  <si>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</si>
  <si>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</si>
  <si>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</si>
  <si>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</si>
  <si>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</si>
  <si>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</si>
  <si>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</si>
  <si>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</si>
  <si>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</si>
  <si>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</si>
  <si>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</si>
  <si>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</si>
  <si>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</si>
  <si>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</si>
  <si>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</si>
  <si>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</si>
  <si>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</si>
  <si>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</si>
  <si>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</si>
  <si>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</si>
  <si>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</si>
  <si>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</si>
  <si>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</si>
  <si>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</si>
  <si>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</si>
  <si>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</si>
  <si>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</si>
  <si>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</si>
  <si>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</si>
  <si>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2.8% of revenue against depreciation of 1.4%. A perpetuity has to be a steady state, so the terminal year uses maintenance capex at depreciation and then charges the reinvestment terminal growth requires (g/ROIC of NOPAT). The bridge is shown under Terminal Value.</t>
  </si>
  <si>
    <t>Current EV/EBITDA of 22.5x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</si>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</sst>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0.056191483803869735</v>
      </c>
    </row>
    <row r="7" spans="1:2" x14ac:dyDescent="0.25">
      <c r="A7" t="s">
        <v>5</v>
      </c>
      <c r="B7" s="6">
        <v>0.14844418636938472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0.013602634212996036</v>
      </c>
    </row>
    <row r="10" spans="1:2" x14ac:dyDescent="0.25">
      <c r="A10" t="s">
        <v>8</v>
      </c>
      <c r="B10" s="6">
        <v>0.028362949445305225</v>
      </c>
    </row>
    <row r="11" spans="1:2" x14ac:dyDescent="0.25">
      <c r="A11" t="s">
        <v>9</v>
      </c>
      <c r="B11" s="6">
        <v>0.4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0.35360112250774145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1.02278</v>
      </c>
      <c r="C19" s="8" t="s">
        <v>19</v>
      </c>
    </row>
    <row r="20" spans="1:2" x14ac:dyDescent="0.25">
      <c r="A20" t="s">
        <v>20</v>
      </c>
      <c r="B20" s="10">
        <f>B17+B19*B18</f>
        <v>0.1062329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59658526720</v>
      </c>
    </row>
    <row r="23" spans="1:2" x14ac:dyDescent="0.25">
      <c r="A23" t="s">
        <v>24</v>
      </c>
      <c r="B23" s="11">
        <v>2862000000</v>
      </c>
    </row>
    <row r="24" spans="1:2" x14ac:dyDescent="0.25">
      <c r="A24" t="s">
        <v>25</v>
      </c>
      <c r="B24" s="10">
        <f>B22/(B22+B23)</f>
        <v>0.9542230344152801</v>
      </c>
    </row>
    <row r="25" spans="1:2" x14ac:dyDescent="0.25">
      <c r="A25" t="s">
        <v>26</v>
      </c>
      <c r="B25" s="10">
        <f>1-B24</f>
        <v>0.045776965584719886</v>
      </c>
    </row>
    <row r="26" spans="1:2" x14ac:dyDescent="0.25">
      <c r="A26" t="s">
        <v>27</v>
      </c>
      <c r="B26" s="12">
        <f>B24*B20+B25*B21*(1-B8)</f>
        <v>0.10317734705727521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17942000000</v>
      </c>
      <c r="C29" s="8" t="s">
        <v>30</v>
      </c>
    </row>
    <row r="30" spans="1:2" x14ac:dyDescent="0.25">
      <c r="A30" t="s">
        <v>31</v>
      </c>
      <c r="B30" s="11">
        <v>2277000000</v>
      </c>
    </row>
    <row r="31" spans="1:2" x14ac:dyDescent="0.25">
      <c r="A31" t="s">
        <v>32</v>
      </c>
      <c r="B31" s="13">
        <v>48000000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0.056191483803869735</v>
      </c>
      <c r="C5" s="10">
        <f>Assumptions!B6</f>
        <v>0.056191483803869735</v>
      </c>
      <c r="D5" s="10">
        <f>Assumptions!B6</f>
        <v>0.056191483803869735</v>
      </c>
      <c r="E5" s="10">
        <f>Assumptions!B6</f>
        <v>0.056191483803869735</v>
      </c>
      <c r="F5" s="10">
        <f>Assumptions!B6</f>
        <v>0.056191483803869735</v>
      </c>
    </row>
    <row r="6" spans="1:6" x14ac:dyDescent="0.25">
      <c r="A6" t="s">
        <v>43</v>
      </c>
      <c r="B6" s="18">
        <f>Assumptions!B29*(1+B5)</f>
        <v>18950187602.40903</v>
      </c>
      <c r="C6" s="18">
        <f>B6*(1+C5)</f>
        <v>20015026762.15009</v>
      </c>
      <c r="D6" s="18">
        <f>C6*(1+D5)</f>
        <v>21139700814.289467</v>
      </c>
      <c r="E6" s="18">
        <f>D6*(1+E5)</f>
        <v>22327571970.214264</v>
      </c>
      <c r="F6" s="18">
        <f>E6*(1+F5)</f>
        <v>23582191368.958294</v>
      </c>
    </row>
    <row r="7" spans="1:6" x14ac:dyDescent="0.25">
      <c r="A7" t="s">
        <v>5</v>
      </c>
      <c r="B7" s="10">
        <f>Assumptions!B7</f>
        <v>0.14844418636938472</v>
      </c>
      <c r="C7" s="10">
        <f>Assumptions!B7</f>
        <v>0.14844418636938472</v>
      </c>
      <c r="D7" s="10">
        <f>Assumptions!B7</f>
        <v>0.14844418636938472</v>
      </c>
      <c r="E7" s="10">
        <f>Assumptions!B7</f>
        <v>0.14844418636938472</v>
      </c>
      <c r="F7" s="10">
        <f>Assumptions!B7</f>
        <v>0.14844418636938472</v>
      </c>
    </row>
    <row r="8" spans="1:6" x14ac:dyDescent="0.25">
      <c r="A8" t="s">
        <v>44</v>
      </c>
      <c r="B8" s="18">
        <f>B6*B7</f>
        <v>2813045180.18681</v>
      </c>
      <c r="C8" s="18">
        <f>C6*C7</f>
        <v>2971114362.8688307</v>
      </c>
      <c r="D8" s="18">
        <f>D6*D7</f>
        <v>3138065687.4694195</v>
      </c>
      <c r="E8" s="18">
        <f>E6*E7</f>
        <v>3314398254.722337</v>
      </c>
      <c r="F8" s="18">
        <f>F6*F7</f>
        <v>3500639210.5721407</v>
      </c>
    </row>
    <row r="9" spans="1:6" x14ac:dyDescent="0.25">
      <c r="A9" t="s">
        <v>45</v>
      </c>
      <c r="B9" s="18">
        <f>B8*(1-Assumptions!B8)</f>
        <v>2222305692.34758</v>
      </c>
      <c r="C9" s="18">
        <f>C8*(1-Assumptions!B8)</f>
        <v>2347180346.666376</v>
      </c>
      <c r="D9" s="18">
        <f>D8*(1-Assumptions!B8)</f>
        <v>2479071893.1008415</v>
      </c>
      <c r="E9" s="18">
        <f>E8*(1-Assumptions!B8)</f>
        <v>2618374621.230646</v>
      </c>
      <c r="F9" s="18">
        <f>F8*(1-Assumptions!B8)</f>
        <v>2765504976.351991</v>
      </c>
    </row>
    <row r="10" spans="1:6" x14ac:dyDescent="0.25">
      <c r="A10" t="s">
        <v>46</v>
      </c>
      <c r="B10" s="18">
        <f>B6*Assumptions!B9</f>
        <v>257772470.2232224</v>
      </c>
      <c r="C10" s="18">
        <f>C6*Assumptions!B9</f>
        <v>272257087.8088541</v>
      </c>
      <c r="D10" s="18">
        <f>D6*Assumptions!B9</f>
        <v>287555617.54895407</v>
      </c>
      <c r="E10" s="18">
        <f>E6*Assumptions!B9</f>
        <v>303713794.37516785</v>
      </c>
      <c r="F10" s="18">
        <f>F6*Assumptions!B9</f>
        <v>320779923.1328119</v>
      </c>
    </row>
    <row r="11" spans="1:6" x14ac:dyDescent="0.25">
      <c r="A11" t="s">
        <v>47</v>
      </c>
      <c r="B11" s="18">
        <f>-B6*Assumptions!B10</f>
        <v>-537483212.9461771</v>
      </c>
      <c r="C11" s="18">
        <f>-C6*Assumptions!B10</f>
        <v>-567685192.2012941</v>
      </c>
      <c r="D11" s="18">
        <f>-D6*Assumptions!B10</f>
        <v>-599584265.4845699</v>
      </c>
      <c r="E11" s="18">
        <f>-E6*Assumptions!B10</f>
        <v>-633275795.0276011</v>
      </c>
      <c r="F11" s="18">
        <f>-F6*Assumptions!B10</f>
        <v>-668860501.6072773</v>
      </c>
    </row>
    <row r="12" spans="1:6" x14ac:dyDescent="0.25">
      <c r="A12" t="s">
        <v>48</v>
      </c>
      <c r="B12" s="18">
        <f>-(B6-Assumptions!B29)*Assumptions!B11</f>
        <v>-403275040.9636124</v>
      </c>
      <c r="C12" s="18">
        <f>-(C6-B6)*Assumptions!B11</f>
        <v>-425935663.89642334</v>
      </c>
      <c r="D12" s="18">
        <f>-(D6-C6)*Assumptions!B11</f>
        <v>-449869620.85575104</v>
      </c>
      <c r="E12" s="18">
        <f>-(E6-D6)*Assumptions!B11</f>
        <v>-475148462.3699188</v>
      </c>
      <c r="F12" s="18">
        <f>-(F6-E6)*Assumptions!B11</f>
        <v>-501847759.497612</v>
      </c>
    </row>
    <row r="13" spans="1:6" x14ac:dyDescent="0.25">
      <c r="A13" s="19" t="s">
        <v>49</v>
      </c>
      <c r="B13" s="20">
        <f>B9+B10+B11+B12</f>
        <v>1539319908.661013</v>
      </c>
      <c r="C13" s="20">
        <f>C9+C10+C11+C12</f>
        <v>1625816578.377513</v>
      </c>
      <c r="D13" s="20">
        <f>D9+D10+D11+D12</f>
        <v>1717173624.3094745</v>
      </c>
      <c r="E13" s="20">
        <f>E9+E10+E11+E12</f>
        <v>1813664158.208294</v>
      </c>
      <c r="F13" s="20">
        <f>F9+F10+F11+F12</f>
        <v>1915576638.3799138</v>
      </c>
    </row>
    <row r="14" spans="1:6" x14ac:dyDescent="0.25">
      <c r="A14" t="s">
        <v>50</v>
      </c>
      <c r="B14" s="21">
        <f>1/(1+Assumptions!$B$26)^(1-0.5*Assumptions!$B$32)</f>
        <v>0.9520885281897012</v>
      </c>
      <c r="C14" s="21">
        <f>1/(1+Assumptions!$B$26)^(2-0.5*Assumptions!$B$32)</f>
        <v>0.8630421307411693</v>
      </c>
      <c r="D14" s="21">
        <f>1/(1+Assumptions!$B$26)^(3-0.5*Assumptions!$B$32)</f>
        <v>0.7823240143965371</v>
      </c>
      <c r="E14" s="21">
        <f>1/(1+Assumptions!$B$26)^(4-0.5*Assumptions!$B$32)</f>
        <v>0.7091552563904487</v>
      </c>
      <c r="F14" s="21">
        <f>1/(1+Assumptions!$B$26)^(5-0.5*Assumptions!$B$32)</f>
        <v>0.6428297846054579</v>
      </c>
    </row>
    <row r="15" spans="1:6" x14ac:dyDescent="0.25">
      <c r="A15" s="19" t="s">
        <v>51</v>
      </c>
      <c r="B15" s="20">
        <f>B13*B14</f>
        <v>1465568826.250169</v>
      </c>
      <c r="C15" s="20">
        <f>C13*C14</f>
        <v>1403148203.997246</v>
      </c>
      <c r="D15" s="20">
        <f>D13*D14</f>
        <v>1343386163.1856391</v>
      </c>
      <c r="E15" s="20">
        <f>E13*E14</f>
        <v>1286169471.1203701</v>
      </c>
      <c r="F15" s="20">
        <f>F13*F14</f>
        <v>1231389717.8450072</v>
      </c>
    </row>
    <row r="17" spans="1:2" x14ac:dyDescent="0.25">
      <c r="A17" s="22" t="s">
        <v>52</v>
      </c>
      <c r="B17" s="23">
        <f>SUM(B15:F15)</f>
        <v>6729662382.398431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1915576638.3799138</v>
      </c>
    </row>
    <row r="5" spans="1:2" x14ac:dyDescent="0.25">
      <c r="A5" t="s">
        <v>56</v>
      </c>
      <c r="B5" s="18">
        <f>IF(Assumptions!$B$33=0,B4,B4-Forecast!F11-Forecast!F10-Forecast!F12)</f>
        <v>2765504976.351991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0.07070113302440852</v>
      </c>
    </row>
    <row r="7" spans="1:2" x14ac:dyDescent="0.25">
      <c r="A7" t="s">
        <v>58</v>
      </c>
      <c r="B7" s="18">
        <f>-MAX(Forecast!F9,0)*B6</f>
        <v>-195524335.21272585</v>
      </c>
    </row>
    <row r="8" spans="1:2" x14ac:dyDescent="0.25">
      <c r="A8" t="s">
        <v>59</v>
      </c>
      <c r="B8" s="18">
        <f>IF(OR(Assumptions!$B$33=0,Assumptions!B12&lt;=0),B5,MAX(B5+B7,0))</f>
        <v>2569980641.1392655</v>
      </c>
    </row>
    <row r="9" spans="1:2" x14ac:dyDescent="0.25">
      <c r="A9" t="s">
        <v>60</v>
      </c>
      <c r="B9" s="18">
        <f>B8*(1+Assumptions!B12)/(Assumptions!B26-Assumptions!B12)</f>
        <v>33695568554.377087</v>
      </c>
    </row>
    <row r="10" spans="1:2" x14ac:dyDescent="0.25">
      <c r="A10" t="s">
        <v>61</v>
      </c>
      <c r="B10" s="18">
        <f>B9/(1+Assumptions!B26)^(5-0.5*Assumptions!B32)</f>
        <v>21660515075.968662</v>
      </c>
    </row>
    <row r="11" spans="1:2" x14ac:dyDescent="0.25">
      <c r="A11" t="s">
        <v>62</v>
      </c>
      <c r="B11" s="18">
        <f>Forecast!B17+B10</f>
        <v>28390177458.367092</v>
      </c>
    </row>
    <row r="12" spans="1:2" x14ac:dyDescent="0.25">
      <c r="A12" t="s">
        <v>63</v>
      </c>
      <c r="B12" s="18">
        <f>-Assumptions!B30</f>
        <v>-2277000000</v>
      </c>
    </row>
    <row r="13" spans="1:2" x14ac:dyDescent="0.25">
      <c r="A13" t="s">
        <v>64</v>
      </c>
      <c r="B13" s="18">
        <f>B11+B12</f>
        <v>26113177458.367092</v>
      </c>
    </row>
    <row r="14" spans="1:2" x14ac:dyDescent="0.25">
      <c r="A14" s="19" t="s">
        <v>65</v>
      </c>
      <c r="B14" s="24">
        <f>B13/Assumptions!B31</f>
        <v>544.0245303826478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3821419133.7049527</v>
      </c>
    </row>
    <row r="18" spans="1:2" x14ac:dyDescent="0.25">
      <c r="A18" t="s">
        <v>60</v>
      </c>
      <c r="B18" s="18">
        <f>B17*Assumptions!B13</f>
        <v>76428382674.09906</v>
      </c>
    </row>
    <row r="19" spans="1:2" x14ac:dyDescent="0.25">
      <c r="A19" t="s">
        <v>61</v>
      </c>
      <c r="B19" s="18">
        <f>B18/(1+Assumptions!B26)^(5-0.5*Assumptions!B32)</f>
        <v>49130440772.13461</v>
      </c>
    </row>
    <row r="20" spans="1:2" x14ac:dyDescent="0.25">
      <c r="A20" t="s">
        <v>62</v>
      </c>
      <c r="B20" s="18">
        <f>Forecast!B17+B19</f>
        <v>55860103154.53304</v>
      </c>
    </row>
    <row r="21" spans="1:2" x14ac:dyDescent="0.25">
      <c r="A21" t="s">
        <v>63</v>
      </c>
      <c r="B21" s="18">
        <f>-Assumptions!B30</f>
        <v>-2277000000</v>
      </c>
    </row>
    <row r="22" spans="1:2" x14ac:dyDescent="0.25">
      <c r="A22" t="s">
        <v>64</v>
      </c>
      <c r="B22" s="18">
        <f>B20+B21</f>
        <v>53583103154.53304</v>
      </c>
    </row>
    <row r="23" spans="1:2" x14ac:dyDescent="0.25">
      <c r="A23" s="19" t="s">
        <v>65</v>
      </c>
      <c r="B23" s="25">
        <f>B22/Assumptions!B31</f>
        <v>1116.3146490527718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1266.61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544.0245303826478</v>
      </c>
    </row>
    <row r="29" spans="1:2" x14ac:dyDescent="0.25">
      <c r="A29" s="19" t="s">
        <v>73</v>
      </c>
      <c r="B29" s="12">
        <f>B28/B26-1</f>
        <v>-0.5704877346755135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0.083177</v>
      </c>
      <c r="B5" s="31">
        <v>672.450079012925</v>
      </c>
      <c r="C5" s="31">
        <v>711.6901448247456</v>
      </c>
      <c r="D5" s="31">
        <v>757.5774113533698</v>
      </c>
      <c r="E5" s="31">
        <v>811.9868999567543</v>
      </c>
      <c r="F5" s="31">
        <v>877.5720205840738</v>
      </c>
    </row>
    <row r="6" spans="1:6" x14ac:dyDescent="0.25">
      <c r="A6" s="30">
        <v>0.093177</v>
      </c>
      <c r="B6" s="31">
        <v>575.6105198543174</v>
      </c>
      <c r="C6" s="31">
        <v>603.3080461088504</v>
      </c>
      <c r="D6" s="31">
        <v>634.9881348357667</v>
      </c>
      <c r="E6" s="31">
        <v>671.5963585865605</v>
      </c>
      <c r="F6" s="31">
        <v>714.4033573969534</v>
      </c>
    </row>
    <row r="7" spans="1:6" x14ac:dyDescent="0.25">
      <c r="A7" s="30">
        <v>0.103177</v>
      </c>
      <c r="B7" s="31">
        <v>501.0036608947198</v>
      </c>
      <c r="C7" s="31">
        <v>521.2538167945414</v>
      </c>
      <c r="D7" s="32">
        <v>544.0272789799556</v>
      </c>
      <c r="E7" s="31">
        <v>569.8412809298408</v>
      </c>
      <c r="F7" s="31">
        <v>599.3647886659794</v>
      </c>
    </row>
    <row r="8" spans="1:6" x14ac:dyDescent="0.25">
      <c r="A8" s="30">
        <v>0.113177</v>
      </c>
      <c r="B8" s="31">
        <v>441.82211517871104</v>
      </c>
      <c r="C8" s="31">
        <v>457.0370684002697</v>
      </c>
      <c r="D8" s="31">
        <v>473.920494035065</v>
      </c>
      <c r="E8" s="31">
        <v>492.7732815861876</v>
      </c>
      <c r="F8" s="31">
        <v>513.9732970339753</v>
      </c>
    </row>
    <row r="9" spans="1:6" x14ac:dyDescent="0.25">
      <c r="A9" s="30">
        <v>0.123177</v>
      </c>
      <c r="B9" s="31">
        <v>393.7764330612017</v>
      </c>
      <c r="C9" s="31">
        <v>405.4597957223239</v>
      </c>
      <c r="D9" s="31">
        <v>418.2839891541659</v>
      </c>
      <c r="E9" s="31">
        <v>432.4326687820021</v>
      </c>
      <c r="F9" s="31">
        <v>448.1311461149554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17942000000</v>
      </c>
      <c r="C5" s="18">
        <v>17168000000</v>
      </c>
      <c r="D5" s="18">
        <v>16478000000</v>
      </c>
      <c r="E5" s="18">
        <v>15228000000</v>
      </c>
      <c r="F5" s="8" t="s">
        <v>84</v>
      </c>
    </row>
    <row r="6" spans="1:6" x14ac:dyDescent="0.25">
      <c r="A6" t="s">
        <v>44</v>
      </c>
      <c r="B6" s="18">
        <v>2495000000</v>
      </c>
      <c r="C6" s="18">
        <v>2637000000</v>
      </c>
      <c r="D6" s="18">
        <v>2565000000</v>
      </c>
      <c r="E6" s="18">
        <v>2215000000</v>
      </c>
      <c r="F6" s="8" t="s">
        <v>85</v>
      </c>
    </row>
    <row r="7" spans="1:6" x14ac:dyDescent="0.25">
      <c r="A7" t="s">
        <v>86</v>
      </c>
      <c r="B7" s="18">
        <v>254000000</v>
      </c>
      <c r="C7" s="18">
        <v>237000000</v>
      </c>
      <c r="D7" s="18">
        <v>214000000</v>
      </c>
      <c r="E7" s="18">
        <v>205000000</v>
      </c>
      <c r="F7" s="8" t="s">
        <v>87</v>
      </c>
    </row>
    <row r="8" spans="1:6" x14ac:dyDescent="0.25">
      <c r="A8" t="s">
        <v>88</v>
      </c>
      <c r="B8" s="18">
        <v>684000000</v>
      </c>
      <c r="C8" s="18">
        <v>541000000</v>
      </c>
      <c r="D8" s="18">
        <v>445000000</v>
      </c>
      <c r="E8" s="18">
        <v>256000000</v>
      </c>
      <c r="F8" s="8" t="s">
        <v>89</v>
      </c>
    </row>
    <row r="9" spans="1:6" x14ac:dyDescent="0.25">
      <c r="A9" t="s">
        <v>90</v>
      </c>
      <c r="B9" s="18">
        <v>428000000</v>
      </c>
      <c r="C9" s="18">
        <v>276000000</v>
      </c>
      <c r="D9" s="18">
        <v>255000000</v>
      </c>
      <c r="E9" s="18">
        <v>616000000</v>
      </c>
      <c r="F9" s="8" t="s">
        <v>91</v>
      </c>
    </row>
    <row r="10" spans="1:6" x14ac:dyDescent="0.25">
      <c r="A10" t="s">
        <v>92</v>
      </c>
      <c r="B10" s="18">
        <v>2862000000</v>
      </c>
      <c r="C10" s="18">
        <v>3183000000</v>
      </c>
      <c r="D10" s="18">
        <v>2752000000</v>
      </c>
      <c r="E10" s="18">
        <v>2705000000</v>
      </c>
      <c r="F10" s="8" t="s">
        <v>93</v>
      </c>
    </row>
    <row r="11" spans="1:6" x14ac:dyDescent="0.25">
      <c r="A11" t="s">
        <v>94</v>
      </c>
      <c r="B11" s="18">
        <v>585000000</v>
      </c>
      <c r="C11" s="18">
        <v>1036000000</v>
      </c>
      <c r="D11" s="18">
        <v>660000000</v>
      </c>
      <c r="E11" s="18">
        <v>325000000</v>
      </c>
      <c r="F11" s="8" t="s">
        <v>95</v>
      </c>
    </row>
    <row r="12" spans="1:6" x14ac:dyDescent="0.25">
      <c r="A12" t="s">
        <v>32</v>
      </c>
      <c r="B12" s="34">
        <v>48000000</v>
      </c>
      <c r="C12" s="34">
        <v>49000000</v>
      </c>
      <c r="D12" s="34">
        <v>50100000</v>
      </c>
      <c r="E12" s="34">
        <v>51100000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