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<sst xmlns="http://schemas.openxmlformats.org/spreadsheetml/2006/main" count="114" uniqueCount="102">
  <si>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Hydro One Limited (H.TO)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</si>
  <si>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</si>
  <si>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</si>
  <si>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</si>
  <si>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</si>
  <si>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</si>
  <si>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</si>
  <si>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</si>
  <si>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</si>
  <si>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</si>
  <si>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</si>
  <si>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</si>
  <si>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</si>
  <si>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</si>
  <si>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</si>
  <si>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</si>
  <si>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</si>
  <si>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</si>
  <si>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</si>
  <si>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</si>
  <si>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</si>
  <si>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</si>
  <si>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</si>
  <si>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</si>
  <si>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</si>
  <si>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</si>
  <si>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</si>
  <si>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</si>
  <si>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</si>
  <si>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</si>
  <si>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</si>
  <si>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</si>
  <si>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</si>
  <si>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</si>
  <si>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</si>
  <si>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</si>
  <si>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</si>
  <si>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</si>
  <si>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</si>
  <si>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</si>
  <si>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</si>
  <si>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</si>
  <si>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</si>
  <si>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</si>
  <si>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</si>
  <si>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</si>
  <si>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</si>
  <si>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</si>
  <si>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</si>
  <si>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</si>
  <si>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</si>
  <si>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</si>
  <si>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</si>
  <si>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</si>
  <si>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</si>
  <si>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</si>
  <si>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</si>
  <si>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</si>
  <si>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</si>
  <si>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</si>
  <si>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</si>
  <si>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</si>
  <si>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</si>
  <si>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</si>
  <si>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</si>
  <si>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</si>
  <si>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</si>
  <si>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</si>
  <si>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</si>
  <si>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</si>
  <si>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</si>
  <si>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</si>
  <si>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</si>
  <si>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</si>
  <si>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</si>
  <si>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</si>
  <si>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</si>
  <si>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</si>
  <si>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</si>
  <si>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</si>
  <si>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</si>
  <si>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</si>
  <si>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</si>
  <si>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</si>
  <si>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</si>
  <si>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</si>
  <si>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</si>
  <si>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</si>
  <si>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</si>
  <si>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</si>
  <si>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</si>
  <si>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</si>
  <si>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</si>
  <si>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</si>
  <si>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</si>
  <si>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</si>
  <si>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</si>
  <si>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</si>
  <si>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</si>
  <si>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31.3% of revenue against depreciation of 10.6%.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</si>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</sst>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0.0513458968230609</v>
      </c>
    </row>
    <row r="7" spans="1:2" x14ac:dyDescent="0.25">
      <c r="A7" t="s">
        <v>5</v>
      </c>
      <c r="B7" s="6">
        <v>0.257382969513258</v>
      </c>
    </row>
    <row r="8" spans="1:2" x14ac:dyDescent="0.25">
      <c r="A8" t="s">
        <v>6</v>
      </c>
      <c r="B8" s="6">
        <v>0.1398027371325889</v>
      </c>
    </row>
    <row r="9" spans="1:2" x14ac:dyDescent="0.25">
      <c r="A9" t="s">
        <v>7</v>
      </c>
      <c r="B9" s="6">
        <v>0.10621159232755997</v>
      </c>
    </row>
    <row r="10" spans="1:2" x14ac:dyDescent="0.25">
      <c r="A10" t="s">
        <v>8</v>
      </c>
      <c r="B10" s="6">
        <v>0.313026672199716</v>
      </c>
    </row>
    <row r="11" spans="1:2" x14ac:dyDescent="0.25">
      <c r="A11" t="s">
        <v>9</v>
      </c>
      <c r="B11" s="6">
        <v>-0.3890625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14.856969459540162</v>
      </c>
    </row>
    <row r="14" spans="1:3" x14ac:dyDescent="0.25">
      <c r="A14" t="s">
        <v>12</v>
      </c>
      <c r="B14" s="6">
        <v>0.06351609232737274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0.58192</v>
      </c>
      <c r="C19" s="8" t="s">
        <v>19</v>
      </c>
    </row>
    <row r="20" spans="1:2" x14ac:dyDescent="0.25">
      <c r="A20" t="s">
        <v>20</v>
      </c>
      <c r="B20" s="10">
        <f>B17+B19*B18</f>
        <v>0.0650056</v>
      </c>
    </row>
    <row r="21" spans="1:3" x14ac:dyDescent="0.25">
      <c r="A21" t="s">
        <v>21</v>
      </c>
      <c r="B21" s="6">
        <v>0.036482896948013224</v>
      </c>
      <c r="C21" s="8" t="s">
        <v>22</v>
      </c>
    </row>
    <row r="22" spans="1:2" x14ac:dyDescent="0.25">
      <c r="A22" t="s">
        <v>23</v>
      </c>
      <c r="B22" s="11">
        <v>31144990720</v>
      </c>
    </row>
    <row r="23" spans="1:2" x14ac:dyDescent="0.25">
      <c r="A23" t="s">
        <v>24</v>
      </c>
      <c r="B23" s="11">
        <v>19160000000</v>
      </c>
    </row>
    <row r="24" spans="1:2" x14ac:dyDescent="0.25">
      <c r="A24" t="s">
        <v>25</v>
      </c>
      <c r="B24" s="10">
        <f>B22/(B22+B23)</f>
        <v>0.6191232773176426</v>
      </c>
    </row>
    <row r="25" spans="1:2" x14ac:dyDescent="0.25">
      <c r="A25" t="s">
        <v>26</v>
      </c>
      <c r="B25" s="10">
        <f>1-B24</f>
        <v>0.3808767226823574</v>
      </c>
    </row>
    <row r="26" spans="1:2" x14ac:dyDescent="0.25">
      <c r="A26" t="s">
        <v>27</v>
      </c>
      <c r="B26" s="12">
        <f>B24*B20+B25*B21*(1-B8)</f>
        <v>0.05219933933168128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9041000000</v>
      </c>
      <c r="C29" s="8" t="s">
        <v>30</v>
      </c>
    </row>
    <row r="30" spans="1:2" x14ac:dyDescent="0.25">
      <c r="A30" t="s">
        <v>31</v>
      </c>
      <c r="B30" s="11">
        <v>18611000000</v>
      </c>
    </row>
    <row r="31" spans="1:2" x14ac:dyDescent="0.25">
      <c r="A31" t="s">
        <v>32</v>
      </c>
      <c r="B31" s="13">
        <v>600713000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0.0513458968230609</v>
      </c>
      <c r="C5" s="10">
        <f>Assumptions!B6</f>
        <v>0.0513458968230609</v>
      </c>
      <c r="D5" s="10">
        <f>Assumptions!B6</f>
        <v>0.0513458968230609</v>
      </c>
      <c r="E5" s="10">
        <f>Assumptions!B6</f>
        <v>0.0513458968230609</v>
      </c>
      <c r="F5" s="10">
        <f>Assumptions!B6</f>
        <v>0.0513458968230609</v>
      </c>
    </row>
    <row r="6" spans="1:6" x14ac:dyDescent="0.25">
      <c r="A6" t="s">
        <v>43</v>
      </c>
      <c r="B6" s="18">
        <f>Assumptions!B29*(1+B5)</f>
        <v>9505218253.177294</v>
      </c>
      <c r="C6" s="18">
        <f>B6*(1+C5)</f>
        <v>9993272208.88561</v>
      </c>
      <c r="D6" s="18">
        <f>C6*(1+D5)</f>
        <v>10506385732.647814</v>
      </c>
      <c r="E6" s="18">
        <f>D6*(1+E5)</f>
        <v>11045845530.459627</v>
      </c>
      <c r="F6" s="18">
        <f>E6*(1+F5)</f>
        <v>11613004375.390076</v>
      </c>
    </row>
    <row r="7" spans="1:6" x14ac:dyDescent="0.25">
      <c r="A7" t="s">
        <v>5</v>
      </c>
      <c r="B7" s="10">
        <f>Assumptions!B7</f>
        <v>0.257382969513258</v>
      </c>
      <c r="C7" s="10">
        <f>Assumptions!B7</f>
        <v>0.257382969513258</v>
      </c>
      <c r="D7" s="10">
        <f>Assumptions!B7</f>
        <v>0.257382969513258</v>
      </c>
      <c r="E7" s="10">
        <f>Assumptions!B7</f>
        <v>0.257382969513258</v>
      </c>
      <c r="F7" s="10">
        <f>Assumptions!B7</f>
        <v>0.257382969513258</v>
      </c>
    </row>
    <row r="8" spans="1:6" x14ac:dyDescent="0.25">
      <c r="A8" t="s">
        <v>44</v>
      </c>
      <c r="B8" s="18">
        <f>B6*B7</f>
        <v>2446481299.874395</v>
      </c>
      <c r="C8" s="18">
        <f>C6*C7</f>
        <v>2572098076.2772937</v>
      </c>
      <c r="D8" s="18">
        <f>D6*D7</f>
        <v>2704164758.720621</v>
      </c>
      <c r="E8" s="18">
        <f>E6*E7</f>
        <v>2843012523.4144473</v>
      </c>
      <c r="F8" s="18">
        <f>F6*F7</f>
        <v>2988989551.1083555</v>
      </c>
    </row>
    <row r="9" spans="1:6" x14ac:dyDescent="0.25">
      <c r="A9" t="s">
        <v>45</v>
      </c>
      <c r="B9" s="18">
        <f>B8*(1-Assumptions!B8)</f>
        <v>2104456517.8082604</v>
      </c>
      <c r="C9" s="18">
        <f>C8*(1-Assumptions!B8)</f>
        <v>2212511725.0402613</v>
      </c>
      <c r="D9" s="18">
        <f>D8*(1-Assumptions!B8)</f>
        <v>2326115123.793991</v>
      </c>
      <c r="E9" s="18">
        <f>E8*(1-Assumptions!B8)</f>
        <v>2445551590.938879</v>
      </c>
      <c r="F9" s="18">
        <f>F8*(1-Assumptions!B8)</f>
        <v>2571120630.6026993</v>
      </c>
    </row>
    <row r="10" spans="1:6" x14ac:dyDescent="0.25">
      <c r="A10" t="s">
        <v>46</v>
      </c>
      <c r="B10" s="18">
        <f>B6*Assumptions!B9</f>
        <v>1009564366.0909485</v>
      </c>
      <c r="C10" s="18">
        <f>C6*Assumptions!B9</f>
        <v>1061401353.8684932</v>
      </c>
      <c r="D10" s="18">
        <f>D6*Assumptions!B9</f>
        <v>1115899958.272082</v>
      </c>
      <c r="E10" s="18">
        <f>E6*Assumptions!B9</f>
        <v>1173196842.3943784</v>
      </c>
      <c r="F10" s="18">
        <f>F6*Assumptions!B9</f>
        <v>1233435686.417101</v>
      </c>
    </row>
    <row r="11" spans="1:6" x14ac:dyDescent="0.25">
      <c r="A11" t="s">
        <v>47</v>
      </c>
      <c r="B11" s="18">
        <f>-B6*Assumptions!B10</f>
        <v>-2975386838.324086</v>
      </c>
      <c r="C11" s="18">
        <f>-C6*Assumptions!B10</f>
        <v>-3128160743.933368</v>
      </c>
      <c r="D11" s="18">
        <f>-D6*Assumptions!B10</f>
        <v>-3288778962.7373204</v>
      </c>
      <c r="E11" s="18">
        <f>-E6*Assumptions!B10</f>
        <v>-3457644268.031884</v>
      </c>
      <c r="F11" s="18">
        <f>-F6*Assumptions!B10</f>
        <v>-3635180113.869097</v>
      </c>
    </row>
    <row r="12" spans="1:6" x14ac:dyDescent="0.25">
      <c r="A12" t="s">
        <v>48</v>
      </c>
      <c r="B12" s="18">
        <f>-(B6-Assumptions!B29)*Assumptions!B11</f>
        <v>180609914.12679085</v>
      </c>
      <c r="C12" s="18">
        <f>-(C6-B6)*Assumptions!B11</f>
        <v>189883492.14276698</v>
      </c>
      <c r="D12" s="18">
        <f>-(D6-C6)*Assumptions!B11</f>
        <v>199633230.33873218</v>
      </c>
      <c r="E12" s="18">
        <f>-(E6-D6)*Assumptions!B11</f>
        <v>209883577.58615863</v>
      </c>
      <c r="F12" s="18">
        <f>-(F6-E6)*Assumptions!B11</f>
        <v>220660238.10575262</v>
      </c>
    </row>
    <row r="13" spans="1:6" x14ac:dyDescent="0.25">
      <c r="A13" s="19" t="s">
        <v>49</v>
      </c>
      <c r="B13" s="20">
        <f>B9+B10+B11+B12</f>
        <v>319243959.7019137</v>
      </c>
      <c r="C13" s="20">
        <f>C9+C10+C11+C12</f>
        <v>335635827.1181531</v>
      </c>
      <c r="D13" s="20">
        <f>D9+D10+D11+D12</f>
        <v>352869349.6674852</v>
      </c>
      <c r="E13" s="20">
        <f>E9+E10+E11+E12</f>
        <v>370987742.8875321</v>
      </c>
      <c r="F13" s="20">
        <f>F9+F10+F11+F12</f>
        <v>390036441.25645554</v>
      </c>
    </row>
    <row r="14" spans="1:6" x14ac:dyDescent="0.25">
      <c r="A14" t="s">
        <v>50</v>
      </c>
      <c r="B14" s="21">
        <f>1/(1+Assumptions!$B$26)^(1-0.5*Assumptions!$B$32)</f>
        <v>0.9748796112870874</v>
      </c>
      <c r="C14" s="21">
        <f>1/(1+Assumptions!$B$26)^(2-0.5*Assumptions!$B$32)</f>
        <v>0.9265160838309358</v>
      </c>
      <c r="D14" s="21">
        <f>1/(1+Assumptions!$B$26)^(3-0.5*Assumptions!$B$32)</f>
        <v>0.8805518585664814</v>
      </c>
      <c r="E14" s="21">
        <f>1/(1+Assumptions!$B$26)^(4-0.5*Assumptions!$B$32)</f>
        <v>0.836867906727423</v>
      </c>
      <c r="F14" s="21">
        <f>1/(1+Assumptions!$B$26)^(5-0.5*Assumptions!$B$32)</f>
        <v>0.7953511045340239</v>
      </c>
    </row>
    <row r="15" spans="1:6" x14ac:dyDescent="0.25">
      <c r="A15" s="19" t="s">
        <v>51</v>
      </c>
      <c r="B15" s="20">
        <f>B13*B14</f>
        <v>311224427.33995223</v>
      </c>
      <c r="C15" s="20">
        <f>C13*C14</f>
        <v>310971992.1348682</v>
      </c>
      <c r="D15" s="20">
        <f>D13*D14</f>
        <v>310719761.6808497</v>
      </c>
      <c r="E15" s="20">
        <f>E13*E14</f>
        <v>310467735.8118204</v>
      </c>
      <c r="F15" s="20">
        <f>F13*F14</f>
        <v>310215914.36184186</v>
      </c>
    </row>
    <row r="17" spans="1:2" x14ac:dyDescent="0.25">
      <c r="A17" s="22" t="s">
        <v>52</v>
      </c>
      <c r="B17" s="23">
        <f>SUM(B15:F15)</f>
        <v>1553599831.3293324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390036441.25645554</v>
      </c>
    </row>
    <row r="5" spans="1:2" x14ac:dyDescent="0.25">
      <c r="A5" t="s">
        <v>56</v>
      </c>
      <c r="B5" s="18">
        <f>IF(Assumptions!$B$33=0,B4,B4-Forecast!F11-Forecast!F10-Forecast!F12)</f>
        <v>2669745894.9208426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0.39360104005053953</v>
      </c>
    </row>
    <row r="7" spans="1:2" x14ac:dyDescent="0.25">
      <c r="A7" t="s">
        <v>58</v>
      </c>
      <c r="B7" s="18">
        <f>-MAX(Forecast!F9,0)*B6</f>
        <v>-1050814760.9115021</v>
      </c>
    </row>
    <row r="8" spans="1:2" x14ac:dyDescent="0.25">
      <c r="A8" t="s">
        <v>59</v>
      </c>
      <c r="B8" s="18">
        <f>IF(OR(Assumptions!$B$33=0,Assumptions!B12&lt;=0),B5,MAX(B5+B7,0))</f>
        <v>1618931134.0093405</v>
      </c>
    </row>
    <row r="9" spans="1:2" x14ac:dyDescent="0.25">
      <c r="A9" t="s">
        <v>60</v>
      </c>
      <c r="B9" s="18">
        <f>B8*(1+Assumptions!B12)/(Assumptions!B26-Assumptions!B12)</f>
        <v>61008997024.67152</v>
      </c>
    </row>
    <row r="10" spans="1:2" x14ac:dyDescent="0.25">
      <c r="A10" t="s">
        <v>61</v>
      </c>
      <c r="B10" s="18">
        <f>B9/(1+Assumptions!B26)^(5-0.5*Assumptions!B32)</f>
        <v>48523573170.08547</v>
      </c>
    </row>
    <row r="11" spans="1:2" x14ac:dyDescent="0.25">
      <c r="A11" t="s">
        <v>62</v>
      </c>
      <c r="B11" s="18">
        <f>Forecast!B17+B10</f>
        <v>50077173001.4148</v>
      </c>
    </row>
    <row r="12" spans="1:2" x14ac:dyDescent="0.25">
      <c r="A12" t="s">
        <v>63</v>
      </c>
      <c r="B12" s="18">
        <f>-Assumptions!B30</f>
        <v>-18611000000</v>
      </c>
    </row>
    <row r="13" spans="1:2" x14ac:dyDescent="0.25">
      <c r="A13" t="s">
        <v>64</v>
      </c>
      <c r="B13" s="18">
        <f>B11+B12</f>
        <v>31466173001.414803</v>
      </c>
    </row>
    <row r="14" spans="1:2" x14ac:dyDescent="0.25">
      <c r="A14" s="19" t="s">
        <v>65</v>
      </c>
      <c r="B14" s="24">
        <f>B13/Assumptions!B31</f>
        <v>52.38137513490602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4222425237.5254564</v>
      </c>
    </row>
    <row r="18" spans="1:2" x14ac:dyDescent="0.25">
      <c r="A18" t="s">
        <v>60</v>
      </c>
      <c r="B18" s="18">
        <f>B17*Assumptions!B13</f>
        <v>62732442799.10732</v>
      </c>
    </row>
    <row r="19" spans="1:2" x14ac:dyDescent="0.25">
      <c r="A19" t="s">
        <v>61</v>
      </c>
      <c r="B19" s="18">
        <f>B18/(1+Assumptions!B26)^(5-0.5*Assumptions!B32)</f>
        <v>49894317670.38748</v>
      </c>
    </row>
    <row r="20" spans="1:2" x14ac:dyDescent="0.25">
      <c r="A20" t="s">
        <v>62</v>
      </c>
      <c r="B20" s="18">
        <f>Forecast!B17+B19</f>
        <v>51447917501.71681</v>
      </c>
    </row>
    <row r="21" spans="1:2" x14ac:dyDescent="0.25">
      <c r="A21" t="s">
        <v>63</v>
      </c>
      <c r="B21" s="18">
        <f>-Assumptions!B30</f>
        <v>-18611000000</v>
      </c>
    </row>
    <row r="22" spans="1:2" x14ac:dyDescent="0.25">
      <c r="A22" t="s">
        <v>64</v>
      </c>
      <c r="B22" s="18">
        <f>B20+B21</f>
        <v>32836917501.716812</v>
      </c>
    </row>
    <row r="23" spans="1:2" x14ac:dyDescent="0.25">
      <c r="A23" s="19" t="s">
        <v>65</v>
      </c>
      <c r="B23" s="25">
        <f>B22/Assumptions!B31</f>
        <v>54.66323768874123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51.9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52.38137513490602</v>
      </c>
    </row>
    <row r="29" spans="1:2" x14ac:dyDescent="0.25">
      <c r="A29" s="19" t="s">
        <v>73</v>
      </c>
      <c r="B29" s="12">
        <f>B28/B26-1</f>
        <v>0.009275050768902116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0.032199</v>
      </c>
      <c r="B5" s="31">
        <v>145.44577003388414</v>
      </c>
      <c r="C5" s="31">
        <v>192.48723349535416</v>
      </c>
      <c r="D5" s="31">
        <v>304.45175113338365</v>
      </c>
      <c r="E5" s="31">
        <v>924.1978098276412</v>
      </c>
      <c r="F5" s="31" t="s">
        <v>76</v>
      </c>
    </row>
    <row r="6" spans="1:6" x14ac:dyDescent="0.25">
      <c r="A6" s="30">
        <v>0.042199</v>
      </c>
      <c r="B6" s="31">
        <v>76.84911272390778</v>
      </c>
      <c r="C6" s="31">
        <v>87.82776212170573</v>
      </c>
      <c r="D6" s="31">
        <v>105.02082675831744</v>
      </c>
      <c r="E6" s="31">
        <v>136.06960744382624</v>
      </c>
      <c r="F6" s="31">
        <v>209.84418901410604</v>
      </c>
    </row>
    <row r="7" spans="1:6" x14ac:dyDescent="0.25">
      <c r="A7" s="30">
        <v>0.052199</v>
      </c>
      <c r="B7" s="31">
        <v>45.276197805055695</v>
      </c>
      <c r="C7" s="31">
        <v>48.320810366918906</v>
      </c>
      <c r="D7" s="32">
        <v>52.382502206693026</v>
      </c>
      <c r="E7" s="31">
        <v>58.148520009754165</v>
      </c>
      <c r="F7" s="31">
        <v>67.10528097764333</v>
      </c>
    </row>
    <row r="8" spans="1:6" x14ac:dyDescent="0.25">
      <c r="A8" s="30">
        <v>0.062199</v>
      </c>
      <c r="B8" s="31">
        <v>27.18771561776719</v>
      </c>
      <c r="C8" s="31">
        <v>27.641683717462318</v>
      </c>
      <c r="D8" s="31">
        <v>28.146004025067278</v>
      </c>
      <c r="E8" s="31">
        <v>28.72413326652544</v>
      </c>
      <c r="F8" s="31">
        <v>29.416776394511317</v>
      </c>
    </row>
    <row r="9" spans="1:6" x14ac:dyDescent="0.25">
      <c r="A9" s="30">
        <v>0.072199</v>
      </c>
      <c r="B9" s="31">
        <v>17.142835400572626</v>
      </c>
      <c r="C9" s="31">
        <v>17.367742118790478</v>
      </c>
      <c r="D9" s="31">
        <v>17.592648837008326</v>
      </c>
      <c r="E9" s="31">
        <v>17.81755555522617</v>
      </c>
      <c r="F9" s="31">
        <v>18.042462273444013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9041000000</v>
      </c>
      <c r="C5" s="18">
        <v>8484000000</v>
      </c>
      <c r="D5" s="18">
        <v>7844000000</v>
      </c>
      <c r="E5" s="18">
        <v>7780000000</v>
      </c>
      <c r="F5" s="8" t="s">
        <v>85</v>
      </c>
    </row>
    <row r="6" spans="1:6" x14ac:dyDescent="0.25">
      <c r="A6" t="s">
        <v>44</v>
      </c>
      <c r="B6" s="18">
        <v>2386000000</v>
      </c>
      <c r="C6" s="18">
        <v>2124000000</v>
      </c>
      <c r="D6" s="18">
        <v>1986000000</v>
      </c>
      <c r="E6" s="18">
        <v>2039000000</v>
      </c>
      <c r="F6" s="8" t="s">
        <v>86</v>
      </c>
    </row>
    <row r="7" spans="1:6" x14ac:dyDescent="0.25">
      <c r="A7" t="s">
        <v>87</v>
      </c>
      <c r="B7" s="18">
        <v>963000000</v>
      </c>
      <c r="C7" s="18">
        <v>909000000</v>
      </c>
      <c r="D7" s="18">
        <v>852000000</v>
      </c>
      <c r="E7" s="18">
        <v>798000000</v>
      </c>
      <c r="F7" s="8" t="s">
        <v>88</v>
      </c>
    </row>
    <row r="8" spans="1:6" x14ac:dyDescent="0.25">
      <c r="A8" t="s">
        <v>89</v>
      </c>
      <c r="B8" s="18">
        <v>3050000000</v>
      </c>
      <c r="C8" s="18">
        <v>2808000000</v>
      </c>
      <c r="D8" s="18">
        <v>2476000000</v>
      </c>
      <c r="E8" s="18">
        <v>2086000000</v>
      </c>
      <c r="F8" s="8" t="s">
        <v>90</v>
      </c>
    </row>
    <row r="9" spans="1:6" x14ac:dyDescent="0.25">
      <c r="A9" t="s">
        <v>91</v>
      </c>
      <c r="B9" s="18">
        <v>-53000000</v>
      </c>
      <c r="C9" s="18">
        <v>-249000000</v>
      </c>
      <c r="D9" s="18">
        <v>-252000000</v>
      </c>
      <c r="E9" s="18">
        <v>-61000000</v>
      </c>
      <c r="F9" s="8" t="s">
        <v>92</v>
      </c>
    </row>
    <row r="10" spans="1:6" x14ac:dyDescent="0.25">
      <c r="A10" t="s">
        <v>93</v>
      </c>
      <c r="B10" s="18">
        <v>19160000000</v>
      </c>
      <c r="C10" s="18">
        <v>17734000000</v>
      </c>
      <c r="D10" s="18">
        <v>15738000000</v>
      </c>
      <c r="E10" s="18">
        <v>15192000000</v>
      </c>
      <c r="F10" s="8" t="s">
        <v>94</v>
      </c>
    </row>
    <row r="11" spans="1:6" x14ac:dyDescent="0.25">
      <c r="A11" t="s">
        <v>95</v>
      </c>
      <c r="B11" s="18">
        <v>549000000</v>
      </c>
      <c r="C11" s="18">
        <v>716000000</v>
      </c>
      <c r="D11" s="18">
        <v>79000000</v>
      </c>
      <c r="E11" s="18">
        <v>530000000</v>
      </c>
      <c r="F11" s="8" t="s">
        <v>96</v>
      </c>
    </row>
    <row r="12" spans="1:6" x14ac:dyDescent="0.25">
      <c r="A12" t="s">
        <v>32</v>
      </c>
      <c r="B12" s="34">
        <v>600713000</v>
      </c>
      <c r="C12" s="34">
        <v>600660478</v>
      </c>
      <c r="D12" s="34">
        <v>600526567</v>
      </c>
      <c r="E12" s="34">
        <v>600587852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9" spans="1:1" x14ac:dyDescent="0.25">
      <c r="A19" s="36" t="s">
        <v>101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2026-09-19T00:06:41Z</dcterms:modified>
</cp:coreProperties>
</file>