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<sst xmlns="http://schemas.openxmlformats.org/spreadsheetml/2006/main" count="114" uniqueCount="102">
  <si>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Hongkong Land Holdings Limited (H78.SI)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</si>
  <si>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</si>
  <si>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</si>
  <si>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</si>
  <si>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</si>
  <si>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</si>
  <si>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</si>
  <si>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</si>
  <si>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</si>
  <si>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</si>
  <si>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</si>
  <si>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</si>
  <si>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</si>
  <si>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</si>
  <si>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</si>
  <si>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</si>
  <si>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</si>
  <si>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</si>
  <si>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</si>
  <si>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</si>
  <si>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</si>
  <si>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</si>
  <si>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</si>
  <si>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</si>
  <si>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</si>
  <si>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</si>
  <si>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</si>
  <si>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</si>
  <si>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</si>
  <si>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</si>
  <si>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</si>
  <si>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</si>
  <si>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</si>
  <si>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</si>
  <si>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</si>
  <si>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</si>
  <si>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</si>
  <si>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</si>
  <si>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</si>
  <si>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</si>
  <si>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</si>
  <si>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</si>
  <si>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</si>
  <si>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</si>
  <si>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</si>
  <si>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</si>
  <si>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</si>
  <si>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</si>
  <si>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</si>
  <si>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</si>
  <si>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</si>
  <si>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</si>
  <si>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</si>
  <si>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</si>
  <si>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</si>
  <si>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</si>
  <si>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</si>
  <si>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</si>
  <si>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</si>
  <si>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</si>
  <si>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</si>
  <si>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</si>
  <si>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</si>
  <si>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</si>
  <si>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</si>
  <si>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</si>
  <si>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</si>
  <si>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</si>
  <si>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</si>
  <si>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</si>
  <si>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</si>
  <si>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</si>
  <si>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</si>
  <si>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</si>
  <si>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</si>
  <si>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</si>
  <si>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</si>
  <si>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</si>
  <si>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</si>
  <si>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</si>
  <si>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</si>
  <si>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</si>
  <si>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</si>
  <si>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</si>
  <si>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</si>
  <si>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</si>
  <si>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</si>
  <si>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</si>
  <si>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</si>
  <si>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</si>
  <si>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</si>
  <si>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</si>
  <si>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</si>
  <si>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</si>
  <si>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</si>
  <si>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</si>
  <si>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</si>
  <si>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</si>
  <si>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6.0% of revenue against depreciation of 0.8%.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</si>
  <si>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</si>
  <si>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Current EV/EBITDA of 67.8x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</si>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</sst>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-0.13585605699712866</v>
      </c>
    </row>
    <row r="7" spans="1:2" x14ac:dyDescent="0.25">
      <c r="A7" t="s">
        <v>5</v>
      </c>
      <c r="B7" s="6">
        <v>0.32609681085303655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0.008205639845869396</v>
      </c>
    </row>
    <row r="10" spans="1:2" x14ac:dyDescent="0.25">
      <c r="A10" t="s">
        <v>8</v>
      </c>
      <c r="B10" s="6">
        <v>0.06024577277796073</v>
      </c>
    </row>
    <row r="11" spans="1:2" x14ac:dyDescent="0.25">
      <c r="A11" t="s">
        <v>9</v>
      </c>
      <c r="B11" s="6">
        <v>0.696575856035991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0.06701894792902127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0.56718</v>
      </c>
      <c r="C19" s="8" t="s">
        <v>19</v>
      </c>
    </row>
    <row r="20" spans="1:2" x14ac:dyDescent="0.25">
      <c r="A20" t="s">
        <v>20</v>
      </c>
      <c r="B20" s="10">
        <f>B17+B19*B18</f>
        <v>0.07886670000000001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18412498944</v>
      </c>
    </row>
    <row r="23" spans="1:2" x14ac:dyDescent="0.25">
      <c r="A23" t="s">
        <v>24</v>
      </c>
      <c r="B23" s="11">
        <v>6141700000</v>
      </c>
    </row>
    <row r="24" spans="1:2" x14ac:dyDescent="0.25">
      <c r="A24" t="s">
        <v>25</v>
      </c>
      <c r="B24" s="10">
        <f>B22/(B22+B23)</f>
        <v>0.7498717016178298</v>
      </c>
    </row>
    <row r="25" spans="1:2" x14ac:dyDescent="0.25">
      <c r="A25" t="s">
        <v>26</v>
      </c>
      <c r="B25" s="10">
        <f>1-B24</f>
        <v>0.2501282983821702</v>
      </c>
    </row>
    <row r="26" spans="1:2" x14ac:dyDescent="0.25">
      <c r="A26" t="s">
        <v>27</v>
      </c>
      <c r="B26" s="12">
        <f>B24*B20+B25*B21*(1-B8)</f>
        <v>0.06701894792902127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1448300000</v>
      </c>
      <c r="C29" s="8" t="s">
        <v>30</v>
      </c>
    </row>
    <row r="30" spans="1:2" x14ac:dyDescent="0.25">
      <c r="A30" t="s">
        <v>31</v>
      </c>
      <c r="B30" s="11">
        <v>3590700000</v>
      </c>
    </row>
    <row r="31" spans="1:2" x14ac:dyDescent="0.25">
      <c r="A31" t="s">
        <v>32</v>
      </c>
      <c r="B31" s="13">
        <v>2189980933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-0.13585605699712866</v>
      </c>
      <c r="C5" s="10">
        <f>Assumptions!B6</f>
        <v>-0.13585605699712866</v>
      </c>
      <c r="D5" s="10">
        <f>Assumptions!B6</f>
        <v>-0.13585605699712866</v>
      </c>
      <c r="E5" s="10">
        <f>Assumptions!B6</f>
        <v>-0.13585605699712866</v>
      </c>
      <c r="F5" s="10">
        <f>Assumptions!B6</f>
        <v>-0.13585605699712866</v>
      </c>
    </row>
    <row r="6" spans="1:6" x14ac:dyDescent="0.25">
      <c r="A6" t="s">
        <v>43</v>
      </c>
      <c r="B6" s="18">
        <f>Assumptions!B29*(1+B5)</f>
        <v>1251539672.6510587</v>
      </c>
      <c r="C6" s="18">
        <f>B6*(1+C5)</f>
        <v>1081510427.5492086</v>
      </c>
      <c r="D6" s="18">
        <f>C6*(1+D5)</f>
        <v>934580685.2610943</v>
      </c>
      <c r="E6" s="18">
        <f>D6*(1+E5)</f>
        <v>807612238.4158475</v>
      </c>
      <c r="F6" s="18">
        <f>E6*(1+F5)</f>
        <v>697893224.1220455</v>
      </c>
    </row>
    <row r="7" spans="1:6" x14ac:dyDescent="0.25">
      <c r="A7" t="s">
        <v>5</v>
      </c>
      <c r="B7" s="10">
        <f>Assumptions!B7</f>
        <v>0.32609681085303655</v>
      </c>
      <c r="C7" s="10">
        <f>Assumptions!B7</f>
        <v>0.32609681085303655</v>
      </c>
      <c r="D7" s="10">
        <f>Assumptions!B7</f>
        <v>0.32609681085303655</v>
      </c>
      <c r="E7" s="10">
        <f>Assumptions!B7</f>
        <v>0.32609681085303655</v>
      </c>
      <c r="F7" s="10">
        <f>Assumptions!B7</f>
        <v>0.32609681085303655</v>
      </c>
    </row>
    <row r="8" spans="1:6" x14ac:dyDescent="0.25">
      <c r="A8" t="s">
        <v>44</v>
      </c>
      <c r="B8" s="18">
        <f>B6*B7</f>
        <v>408123095.90756357</v>
      </c>
      <c r="C8" s="18">
        <f>C6*C7</f>
        <v>352677101.328101</v>
      </c>
      <c r="D8" s="18">
        <f>D6*D7</f>
        <v>304763780.94848835</v>
      </c>
      <c r="E8" s="18">
        <f>E6*E7</f>
        <v>263359775.35329008</v>
      </c>
      <c r="F8" s="18">
        <f>F6*F7</f>
        <v>227580754.7021425</v>
      </c>
    </row>
    <row r="9" spans="1:6" x14ac:dyDescent="0.25">
      <c r="A9" t="s">
        <v>45</v>
      </c>
      <c r="B9" s="18">
        <f>B8*(1-Assumptions!B8)</f>
        <v>306092321.93067265</v>
      </c>
      <c r="C9" s="18">
        <f>C8*(1-Assumptions!B8)</f>
        <v>264507825.99607575</v>
      </c>
      <c r="D9" s="18">
        <f>D8*(1-Assumptions!B8)</f>
        <v>228572835.71136627</v>
      </c>
      <c r="E9" s="18">
        <f>E8*(1-Assumptions!B8)</f>
        <v>197519831.51496756</v>
      </c>
      <c r="F9" s="18">
        <f>F8*(1-Assumptions!B8)</f>
        <v>170685566.0266069</v>
      </c>
    </row>
    <row r="10" spans="1:6" x14ac:dyDescent="0.25">
      <c r="A10" t="s">
        <v>46</v>
      </c>
      <c r="B10" s="18">
        <f>B6*Assumptions!B9</f>
        <v>10269683.806591868</v>
      </c>
      <c r="C10" s="18">
        <f>C6*Assumptions!B9</f>
        <v>8874485.058021033</v>
      </c>
      <c r="D10" s="18">
        <f>D6*Assumptions!B9</f>
        <v>7668832.510158361</v>
      </c>
      <c r="E10" s="18">
        <f>E6*Assumptions!B9</f>
        <v>6626975.163556853</v>
      </c>
      <c r="F10" s="18">
        <f>F6*Assumptions!B9</f>
        <v>5726660.448018118</v>
      </c>
    </row>
    <row r="11" spans="1:6" x14ac:dyDescent="0.25">
      <c r="A11" t="s">
        <v>47</v>
      </c>
      <c r="B11" s="18">
        <f>-B6*Assumptions!B10</f>
        <v>-75399974.74113902</v>
      </c>
      <c r="C11" s="18">
        <f>-C6*Assumptions!B10</f>
        <v>-65156431.475124784</v>
      </c>
      <c r="D11" s="18">
        <f>-D6*Assumptions!B10</f>
        <v>-56304535.60691072</v>
      </c>
      <c r="E11" s="18">
        <f>-E6*Assumptions!B10</f>
        <v>-48655223.4083014</v>
      </c>
      <c r="F11" s="18">
        <f>-F6*Assumptions!B10</f>
        <v>-42045116.60373517</v>
      </c>
    </row>
    <row r="12" spans="1:6" x14ac:dyDescent="0.25">
      <c r="A12" t="s">
        <v>48</v>
      </c>
      <c r="B12" s="18">
        <f>-(B6-Assumptions!B29)*Assumptions!B11</f>
        <v>137058493.45701063</v>
      </c>
      <c r="C12" s="18">
        <f>-(C6-B6)*Assumptions!B11</f>
        <v>118438266.95797452</v>
      </c>
      <c r="D12" s="18">
        <f>-(D6-C6)*Assumptions!B11</f>
        <v>102347711.01149078</v>
      </c>
      <c r="E12" s="18">
        <f>-(E6-D6)*Assumptions!B11</f>
        <v>88443154.55078802</v>
      </c>
      <c r="F12" s="18">
        <f>-(F6-E6)*Assumptions!B11</f>
        <v>76427616.30513029</v>
      </c>
    </row>
    <row r="13" spans="1:6" x14ac:dyDescent="0.25">
      <c r="A13" s="19" t="s">
        <v>49</v>
      </c>
      <c r="B13" s="20">
        <f>B9+B10+B11+B12</f>
        <v>378020524.4531361</v>
      </c>
      <c r="C13" s="20">
        <f>C9+C10+C11+C12</f>
        <v>326664146.53694654</v>
      </c>
      <c r="D13" s="20">
        <f>D9+D10+D11+D12</f>
        <v>282284843.62610465</v>
      </c>
      <c r="E13" s="20">
        <f>E9+E10+E11+E12</f>
        <v>243934737.82101104</v>
      </c>
      <c r="F13" s="20">
        <f>F9+F10+F11+F12</f>
        <v>210794726.1760201</v>
      </c>
    </row>
    <row r="14" spans="1:6" x14ac:dyDescent="0.25">
      <c r="A14" t="s">
        <v>50</v>
      </c>
      <c r="B14" s="21">
        <f>1/(1+Assumptions!$B$26)^(1-0.5*Assumptions!$B$32)</f>
        <v>0.9680859879266756</v>
      </c>
      <c r="C14" s="21">
        <f>1/(1+Assumptions!$B$26)^(2-0.5*Assumptions!$B$32)</f>
        <v>0.9072809717256054</v>
      </c>
      <c r="D14" s="21">
        <f>1/(1+Assumptions!$B$26)^(3-0.5*Assumptions!$B$32)</f>
        <v>0.8502950894045024</v>
      </c>
      <c r="E14" s="21">
        <f>1/(1+Assumptions!$B$26)^(4-0.5*Assumptions!$B$32)</f>
        <v>0.7968884629976266</v>
      </c>
      <c r="F14" s="21">
        <f>1/(1+Assumptions!$B$26)^(5-0.5*Assumptions!$B$32)</f>
        <v>0.7468362811591198</v>
      </c>
    </row>
    <row r="15" spans="1:6" x14ac:dyDescent="0.25">
      <c r="A15" s="19" t="s">
        <v>51</v>
      </c>
      <c r="B15" s="20">
        <f>B13*B14</f>
        <v>365956372.87177426</v>
      </c>
      <c r="C15" s="20">
        <f>C13*C14</f>
        <v>296376164.2979564</v>
      </c>
      <c r="D15" s="20">
        <f>D13*D14</f>
        <v>240025416.34859464</v>
      </c>
      <c r="E15" s="20">
        <f>E13*E14</f>
        <v>194388778.2939145</v>
      </c>
      <c r="F15" s="20">
        <f>F13*F14</f>
        <v>157429149.38525382</v>
      </c>
    </row>
    <row r="17" spans="1:2" x14ac:dyDescent="0.25">
      <c r="A17" s="22" t="s">
        <v>52</v>
      </c>
      <c r="B17" s="23">
        <f>SUM(B15:F15)</f>
        <v>1254175881.1974938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210794726.1760201</v>
      </c>
    </row>
    <row r="5" spans="1:2" x14ac:dyDescent="0.25">
      <c r="A5" t="s">
        <v>56</v>
      </c>
      <c r="B5" s="18">
        <f>IF(Assumptions!$B$33=0,B4,B4-Forecast!F11-Forecast!F10-Forecast!F12)</f>
        <v>170685566.0266069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0.3730288339721046</v>
      </c>
    </row>
    <row r="7" spans="1:2" x14ac:dyDescent="0.25">
      <c r="A7" t="s">
        <v>58</v>
      </c>
      <c r="B7" s="18">
        <f>-MAX(Forecast!F9,0)*B6</f>
        <v>-63670637.67077384</v>
      </c>
    </row>
    <row r="8" spans="1:2" x14ac:dyDescent="0.25">
      <c r="A8" t="s">
        <v>59</v>
      </c>
      <c r="B8" s="18">
        <f>IF(OR(Assumptions!$B$33=0,Assumptions!B12&lt;=0),B5,MAX(B5+B7,0))</f>
        <v>107014928.35583305</v>
      </c>
    </row>
    <row r="9" spans="1:2" x14ac:dyDescent="0.25">
      <c r="A9" t="s">
        <v>60</v>
      </c>
      <c r="B9" s="18">
        <f>B8*(1+Assumptions!B12)/(Assumptions!B26-Assumptions!B12)</f>
        <v>2610496144.5017276</v>
      </c>
    </row>
    <row r="10" spans="1:2" x14ac:dyDescent="0.25">
      <c r="A10" t="s">
        <v>61</v>
      </c>
      <c r="B10" s="18">
        <f>B9/(1+Assumptions!B26)^(5-0.5*Assumptions!B32)</f>
        <v>1949613232.5398905</v>
      </c>
    </row>
    <row r="11" spans="1:2" x14ac:dyDescent="0.25">
      <c r="A11" t="s">
        <v>62</v>
      </c>
      <c r="B11" s="18">
        <f>Forecast!B17+B10</f>
        <v>3203789113.7373843</v>
      </c>
    </row>
    <row r="12" spans="1:2" x14ac:dyDescent="0.25">
      <c r="A12" t="s">
        <v>63</v>
      </c>
      <c r="B12" s="18">
        <f>-Assumptions!B30</f>
        <v>-3590700000</v>
      </c>
    </row>
    <row r="13" spans="1:2" x14ac:dyDescent="0.25">
      <c r="A13" t="s">
        <v>64</v>
      </c>
      <c r="B13" s="18">
        <f>B11+B12</f>
        <v>-386910886.2626157</v>
      </c>
    </row>
    <row r="14" spans="1:2" x14ac:dyDescent="0.25">
      <c r="A14" s="19" t="s">
        <v>65</v>
      </c>
      <c r="B14" s="24">
        <f>B13/Assumptions!B31</f>
        <v>-0.17667317574888478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233307415.1501606</v>
      </c>
    </row>
    <row r="18" spans="1:2" x14ac:dyDescent="0.25">
      <c r="A18" t="s">
        <v>60</v>
      </c>
      <c r="B18" s="18">
        <f>B17*Assumptions!B13</f>
        <v>4666148303.003212</v>
      </c>
    </row>
    <row r="19" spans="1:2" x14ac:dyDescent="0.25">
      <c r="A19" t="s">
        <v>61</v>
      </c>
      <c r="B19" s="18">
        <f>B18/(1+Assumptions!B26)^(5-0.5*Assumptions!B32)</f>
        <v>3484848845.9518566</v>
      </c>
    </row>
    <row r="20" spans="1:2" x14ac:dyDescent="0.25">
      <c r="A20" t="s">
        <v>62</v>
      </c>
      <c r="B20" s="18">
        <f>Forecast!B17+B19</f>
        <v>4739024727.14935</v>
      </c>
    </row>
    <row r="21" spans="1:2" x14ac:dyDescent="0.25">
      <c r="A21" t="s">
        <v>63</v>
      </c>
      <c r="B21" s="18">
        <f>-Assumptions!B30</f>
        <v>-3590700000</v>
      </c>
    </row>
    <row r="22" spans="1:2" x14ac:dyDescent="0.25">
      <c r="A22" t="s">
        <v>64</v>
      </c>
      <c r="B22" s="18">
        <f>B20+B21</f>
        <v>1148324727.1493502</v>
      </c>
    </row>
    <row r="23" spans="1:2" x14ac:dyDescent="0.25">
      <c r="A23" s="19" t="s">
        <v>65</v>
      </c>
      <c r="B23" s="25">
        <f>B22/Assumptions!B31</f>
        <v>0.5243537557088631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8.64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-0.17667317574888478</v>
      </c>
    </row>
    <row r="29" spans="1:2" x14ac:dyDescent="0.25">
      <c r="A29" s="19" t="s">
        <v>73</v>
      </c>
      <c r="B29" s="12">
        <f>B28/B26-1</f>
        <v>-1.020448284230195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0.047019</v>
      </c>
      <c r="B5" s="31">
        <v>0.3245575333135971</v>
      </c>
      <c r="C5" s="31">
        <v>0.3312974968422186</v>
      </c>
      <c r="D5" s="31">
        <v>0.33803746037083965</v>
      </c>
      <c r="E5" s="31">
        <v>0.34477742389946114</v>
      </c>
      <c r="F5" s="31">
        <v>0.35151738742808225</v>
      </c>
    </row>
    <row r="6" spans="1:6" x14ac:dyDescent="0.25">
      <c r="A6" s="30">
        <v>0.057019</v>
      </c>
      <c r="B6" s="31">
        <v>0.025505962880373937</v>
      </c>
      <c r="C6" s="31">
        <v>0.030831142958490376</v>
      </c>
      <c r="D6" s="31">
        <v>0.03615632303660616</v>
      </c>
      <c r="E6" s="31">
        <v>0.04148150311472238</v>
      </c>
      <c r="F6" s="31">
        <v>0.0468066831928386</v>
      </c>
    </row>
    <row r="7" spans="1:6" x14ac:dyDescent="0.25">
      <c r="A7" s="30">
        <v>0.067019</v>
      </c>
      <c r="B7" s="31">
        <v>-0.1853594013909466</v>
      </c>
      <c r="C7" s="31">
        <v>-0.18101676131106614</v>
      </c>
      <c r="D7" s="32">
        <v>-0.17667412123118573</v>
      </c>
      <c r="E7" s="31">
        <v>-0.17233148115130528</v>
      </c>
      <c r="F7" s="31">
        <v>-0.1679888410714253</v>
      </c>
    </row>
    <row r="8" spans="1:6" x14ac:dyDescent="0.25">
      <c r="A8" s="30">
        <v>0.077019</v>
      </c>
      <c r="B8" s="31">
        <v>-0.34234375315661086</v>
      </c>
      <c r="C8" s="31">
        <v>-0.3387202933366034</v>
      </c>
      <c r="D8" s="31">
        <v>-0.33509683351659625</v>
      </c>
      <c r="E8" s="31">
        <v>-0.33147337369658864</v>
      </c>
      <c r="F8" s="31">
        <v>-0.3278499138765812</v>
      </c>
    </row>
    <row r="9" spans="1:6" x14ac:dyDescent="0.25">
      <c r="A9" s="30">
        <v>0.087019</v>
      </c>
      <c r="B9" s="31">
        <v>-0.4639856113434837</v>
      </c>
      <c r="C9" s="31">
        <v>-0.46090919385992807</v>
      </c>
      <c r="D9" s="31">
        <v>-0.4578327763763726</v>
      </c>
      <c r="E9" s="31">
        <v>-0.4547563588928172</v>
      </c>
      <c r="F9" s="31">
        <v>-0.45167994140926154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1448300000</v>
      </c>
      <c r="C5" s="18">
        <v>2002100000</v>
      </c>
      <c r="D5" s="18">
        <v>1844300000</v>
      </c>
      <c r="E5" s="18">
        <v>2244400000</v>
      </c>
      <c r="F5" s="8" t="s">
        <v>84</v>
      </c>
    </row>
    <row r="6" spans="1:6" x14ac:dyDescent="0.25">
      <c r="A6" t="s">
        <v>44</v>
      </c>
      <c r="B6" s="18">
        <v>310400000</v>
      </c>
      <c r="C6" s="18">
        <v>597700000</v>
      </c>
      <c r="D6" s="18">
        <v>763400000</v>
      </c>
      <c r="E6" s="18">
        <v>847500000</v>
      </c>
      <c r="F6" s="8" t="s">
        <v>85</v>
      </c>
    </row>
    <row r="7" spans="1:6" x14ac:dyDescent="0.25">
      <c r="A7" t="s">
        <v>86</v>
      </c>
      <c r="B7" s="18">
        <v>14100000</v>
      </c>
      <c r="C7" s="18">
        <v>12700000</v>
      </c>
      <c r="D7" s="18">
        <v>16500000</v>
      </c>
      <c r="E7" s="18">
        <v>17500000</v>
      </c>
      <c r="F7" s="8" t="s">
        <v>87</v>
      </c>
    </row>
    <row r="8" spans="1:6" x14ac:dyDescent="0.25">
      <c r="A8" t="s">
        <v>88</v>
      </c>
      <c r="B8" s="18">
        <v>164200000</v>
      </c>
      <c r="C8" s="18">
        <v>78500000</v>
      </c>
      <c r="D8" s="18">
        <v>85300000</v>
      </c>
      <c r="E8" s="18">
        <v>94600000</v>
      </c>
      <c r="F8" s="8" t="s">
        <v>89</v>
      </c>
    </row>
    <row r="9" spans="1:6" x14ac:dyDescent="0.25">
      <c r="A9" t="s">
        <v>90</v>
      </c>
      <c r="B9" s="18">
        <v>-411400000</v>
      </c>
      <c r="C9" s="18">
        <v>-290900000</v>
      </c>
      <c r="D9" s="18">
        <v>-278700000</v>
      </c>
      <c r="E9" s="18">
        <v>-78300000</v>
      </c>
      <c r="F9" s="8" t="s">
        <v>91</v>
      </c>
    </row>
    <row r="10" spans="1:6" x14ac:dyDescent="0.25">
      <c r="A10" t="s">
        <v>92</v>
      </c>
      <c r="B10" s="18">
        <v>6141700000</v>
      </c>
      <c r="C10" s="18">
        <v>6165300000</v>
      </c>
      <c r="D10" s="18">
        <v>6566900000</v>
      </c>
      <c r="E10" s="18">
        <v>6990500000</v>
      </c>
      <c r="F10" s="8" t="s">
        <v>93</v>
      </c>
    </row>
    <row r="11" spans="1:6" x14ac:dyDescent="0.25">
      <c r="A11" t="s">
        <v>94</v>
      </c>
      <c r="B11" s="18">
        <v>2551000000</v>
      </c>
      <c r="C11" s="18">
        <v>1063900000</v>
      </c>
      <c r="D11" s="18">
        <v>1113400000</v>
      </c>
      <c r="E11" s="18">
        <v>1173400000</v>
      </c>
      <c r="F11" s="8" t="s">
        <v>95</v>
      </c>
    </row>
    <row r="12" spans="1:6" x14ac:dyDescent="0.25">
      <c r="A12" t="s">
        <v>32</v>
      </c>
      <c r="B12" s="34">
        <v>2189980933</v>
      </c>
      <c r="C12" s="34">
        <v>2206600000</v>
      </c>
      <c r="D12" s="34">
        <v>2215100000</v>
      </c>
      <c r="E12" s="34">
        <v>2253700000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2026-09-19T00:08:36Z</dcterms:modified>
</cp:coreProperties>
</file>