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<sst xmlns="http://schemas.openxmlformats.org/spreadsheetml/2006/main" count="119" uniqueCount="106">
  <si>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Halliburton Company (HAL)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</si>
  <si>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</si>
  <si>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</si>
  <si>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</si>
  <si>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</si>
  <si>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</si>
  <si>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</si>
  <si>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</si>
  <si>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</si>
  <si>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</si>
  <si>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</si>
  <si>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</si>
  <si>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</si>
  <si>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</si>
  <si>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</si>
  <si>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</si>
  <si>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</si>
  <si>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</si>
  <si>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</si>
  <si>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</si>
  <si>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</si>
  <si>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</si>
  <si>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</si>
  <si>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</si>
  <si>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8.8x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</si>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</sst>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0.01573996844572667</v>
      </c>
    </row>
    <row r="7" spans="1:2" x14ac:dyDescent="0.25">
      <c r="A7" t="s">
        <v>4</v>
      </c>
      <c r="B7" s="5">
        <v>0.15993863605395475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0.04697631465220514</v>
      </c>
    </row>
    <row r="10" spans="1:3" x14ac:dyDescent="0.25">
      <c r="A10" t="s">
        <v>7</v>
      </c>
      <c r="B10" s="5">
        <v>0.05727396364942341</v>
      </c>
      <c r="C10" s="6" t="s">
        <v>8</v>
      </c>
    </row>
    <row r="11" spans="1:2" x14ac:dyDescent="0.25">
      <c r="A11" t="s">
        <v>9</v>
      </c>
      <c r="B11" s="5">
        <v>0.21611159688387876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8.174554920274426</v>
      </c>
    </row>
    <row r="14" spans="1:3" x14ac:dyDescent="0.25">
      <c r="A14" t="s">
        <v>12</v>
      </c>
      <c r="B14" s="5">
        <v>0.1626493959433183</v>
      </c>
      <c r="C14" s="6" t="s">
        <v>13</v>
      </c>
    </row>
    <row r="15" spans="1:3" x14ac:dyDescent="0.25">
      <c r="A15" t="s">
        <v>14</v>
      </c>
      <c r="B15" s="5">
        <v>0.04697631465220514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0.83183</v>
      </c>
      <c r="C19" s="6" t="s">
        <v>21</v>
      </c>
    </row>
    <row r="20" spans="1:2" x14ac:dyDescent="0.25">
      <c r="A20" t="s">
        <v>22</v>
      </c>
      <c r="B20" s="9">
        <f>B17+B19*B18</f>
        <v>0.084126409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28626843648</v>
      </c>
    </row>
    <row r="23" spans="1:2" x14ac:dyDescent="0.25">
      <c r="A23" t="s">
        <v>26</v>
      </c>
      <c r="B23" s="10">
        <v>8133000000</v>
      </c>
    </row>
    <row r="24" spans="1:2" x14ac:dyDescent="0.25">
      <c r="A24" t="s">
        <v>27</v>
      </c>
      <c r="B24" s="9">
        <f>B22/(B22+B23)</f>
        <v>0.7787531394888701</v>
      </c>
    </row>
    <row r="25" spans="1:2" x14ac:dyDescent="0.25">
      <c r="A25" t="s">
        <v>28</v>
      </c>
      <c r="B25" s="9">
        <f>1-B24</f>
        <v>0.22124686051112985</v>
      </c>
    </row>
    <row r="26" spans="1:2" x14ac:dyDescent="0.25">
      <c r="A26" t="s">
        <v>29</v>
      </c>
      <c r="B26" s="11">
        <f>B24*B20+B25*B21*(1-B8)</f>
        <v>0.07476682407108752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22184000000</v>
      </c>
      <c r="C29" s="6" t="s">
        <v>32</v>
      </c>
    </row>
    <row r="30" spans="1:2" x14ac:dyDescent="0.25">
      <c r="A30" t="s">
        <v>33</v>
      </c>
      <c r="B30" s="10">
        <v>5927000000</v>
      </c>
    </row>
    <row r="31" spans="1:2" x14ac:dyDescent="0.25">
      <c r="A31" t="s">
        <v>34</v>
      </c>
      <c r="B31" s="12">
        <v>853000000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0.01573996844572667</v>
      </c>
      <c r="C5" s="5">
        <v>0.05091540613246526</v>
      </c>
      <c r="D5" s="5">
        <v>0.0476759803659071</v>
      </c>
      <c r="E5" s="5">
        <v>0.04443655459934894</v>
      </c>
      <c r="F5" s="5">
        <v>0.04119712883279079</v>
      </c>
      <c r="G5" s="5">
        <v>0.037957703066232626</v>
      </c>
      <c r="H5" s="5">
        <v>0.03471827729967447</v>
      </c>
      <c r="I5" s="5">
        <v>0.03147885153311632</v>
      </c>
      <c r="J5" s="5">
        <v>0.02823942576655816</v>
      </c>
      <c r="K5" s="5">
        <v>0.025</v>
      </c>
    </row>
    <row r="6" spans="1:11" x14ac:dyDescent="0.25">
      <c r="A6" t="s">
        <v>50</v>
      </c>
      <c r="B6" s="18">
        <f>Assumptions!B29*(1+B5)</f>
        <v>22533175460</v>
      </c>
      <c r="C6" s="18">
        <f>B6*(1+C5)</f>
        <v>23680461240</v>
      </c>
      <c r="D6" s="18">
        <f>C6*(1+D5)</f>
        <v>24809450445.13386</v>
      </c>
      <c r="E6" s="18">
        <f>D6*(1+E5)</f>
        <v>25911896944.418896</v>
      </c>
      <c r="F6" s="18">
        <f>E6*(1+F5)</f>
        <v>26979392701.140118</v>
      </c>
      <c r="G6" s="18">
        <f>F6*(1+G5)</f>
        <v>28003468478.197277</v>
      </c>
      <c r="H6" s="18">
        <f>G6*(1+H5)</f>
        <v>28975700662.176025</v>
      </c>
      <c r="I6" s="18">
        <f>H6*(1+I5)</f>
        <v>29887822441.388687</v>
      </c>
      <c r="J6" s="18">
        <f>I6*(1+J5)</f>
        <v>30731837384.546352</v>
      </c>
      <c r="K6" s="18">
        <f>J6*(1+K5)</f>
        <v>31500133319.160007</v>
      </c>
    </row>
    <row r="7" spans="1:11" x14ac:dyDescent="0.25">
      <c r="A7" t="s">
        <v>4</v>
      </c>
      <c r="B7" s="9">
        <f>Assumptions!B7</f>
        <v>0.15993863605395475</v>
      </c>
      <c r="C7" s="9">
        <f>Assumptions!B7</f>
        <v>0.15993863605395475</v>
      </c>
      <c r="D7" s="9">
        <f>Assumptions!B7</f>
        <v>0.15993863605395475</v>
      </c>
      <c r="E7" s="9">
        <f>Assumptions!B7</f>
        <v>0.15993863605395475</v>
      </c>
      <c r="F7" s="9">
        <f>Assumptions!B7</f>
        <v>0.15993863605395475</v>
      </c>
      <c r="G7" s="9">
        <f>Assumptions!B7</f>
        <v>0.15993863605395475</v>
      </c>
      <c r="H7" s="9">
        <f>Assumptions!B7</f>
        <v>0.15993863605395475</v>
      </c>
      <c r="I7" s="9">
        <f>Assumptions!B7</f>
        <v>0.15993863605395475</v>
      </c>
      <c r="J7" s="9">
        <f>Assumptions!B7</f>
        <v>0.15993863605395475</v>
      </c>
      <c r="K7" s="9">
        <f>Assumptions!B7</f>
        <v>0.15993863605395475</v>
      </c>
    </row>
    <row r="8" spans="1:11" x14ac:dyDescent="0.25">
      <c r="A8" t="s">
        <v>51</v>
      </c>
      <c r="B8" s="18">
        <f>B6*B7</f>
        <v>3603925349.0368443</v>
      </c>
      <c r="C8" s="18">
        <f>C6*C7</f>
        <v>3787420671.854142</v>
      </c>
      <c r="D8" s="18">
        <f>D6*D7</f>
        <v>3967989665.4428906</v>
      </c>
      <c r="E8" s="18">
        <f>E6*E7</f>
        <v>4144313454.860996</v>
      </c>
      <c r="F8" s="18">
        <f>F6*F7</f>
        <v>4315047270.184373</v>
      </c>
      <c r="G8" s="18">
        <f>G6*G7</f>
        <v>4478836553.182789</v>
      </c>
      <c r="H8" s="18">
        <f>H6*H7</f>
        <v>4634334042.616107</v>
      </c>
      <c r="I8" s="18">
        <f>I6*I7</f>
        <v>4780217555.898487</v>
      </c>
      <c r="J8" s="18">
        <f>J6*J7</f>
        <v>4915208154.71628</v>
      </c>
      <c r="K8" s="18">
        <f>K6*K7</f>
        <v>5038088358.584187</v>
      </c>
    </row>
    <row r="9" spans="1:11" x14ac:dyDescent="0.25">
      <c r="A9" t="s">
        <v>52</v>
      </c>
      <c r="B9" s="18">
        <f>B8*(1-Assumptions!B8)</f>
        <v>2847101025.739107</v>
      </c>
      <c r="C9" s="18">
        <f>C8*(1-Assumptions!B8)</f>
        <v>2992062330.7647724</v>
      </c>
      <c r="D9" s="18">
        <f>D8*(1-Assumptions!B8)</f>
        <v>3134711835.699884</v>
      </c>
      <c r="E9" s="18">
        <f>E8*(1-Assumptions!B8)</f>
        <v>3274007629.3401866</v>
      </c>
      <c r="F9" s="18">
        <f>F8*(1-Assumptions!B8)</f>
        <v>3408887343.445655</v>
      </c>
      <c r="G9" s="18">
        <f>G8*(1-Assumptions!B8)</f>
        <v>3538280877.0144033</v>
      </c>
      <c r="H9" s="18">
        <f>H8*(1-Assumptions!B8)</f>
        <v>3661123893.6667247</v>
      </c>
      <c r="I9" s="18">
        <f>I8*(1-Assumptions!B8)</f>
        <v>3776371869.159805</v>
      </c>
      <c r="J9" s="18">
        <f>J8*(1-Assumptions!B8)</f>
        <v>3883014442.2258615</v>
      </c>
      <c r="K9" s="18">
        <f>K8*(1-Assumptions!B8)</f>
        <v>3980089803.2815075</v>
      </c>
    </row>
    <row r="10" spans="1:11" x14ac:dyDescent="0.25">
      <c r="A10" t="s">
        <v>53</v>
      </c>
      <c r="B10" s="18">
        <f>B6*Assumptions!B9</f>
        <v>1058525540.5223074</v>
      </c>
      <c r="C10" s="18">
        <f>C6*Assumptions!B9</f>
        <v>1112420798.319588</v>
      </c>
      <c r="D10" s="18">
        <f>D6*Assumptions!B9</f>
        <v>1165456550.4588993</v>
      </c>
      <c r="E10" s="18">
        <f>E6*Assumptions!B9</f>
        <v>1217245424.096535</v>
      </c>
      <c r="F10" s="18">
        <f>F6*Assumptions!B9</f>
        <v>1267392440.654165</v>
      </c>
      <c r="G10" s="18">
        <f>G6*Assumptions!B9</f>
        <v>1315499746.5849035</v>
      </c>
      <c r="H10" s="18">
        <f>H6*Assumptions!B9</f>
        <v>1361171631.5744898</v>
      </c>
      <c r="I10" s="18">
        <f>I6*Assumptions!B9</f>
        <v>1404019751.275913</v>
      </c>
      <c r="J10" s="18">
        <f>J6*Assumptions!B9</f>
        <v>1443668462.8168507</v>
      </c>
      <c r="K10" s="18">
        <f>K6*Assumptions!B9</f>
        <v>1479760174.3872716</v>
      </c>
    </row>
    <row r="11" spans="1:11" x14ac:dyDescent="0.25">
      <c r="A11" t="s">
        <v>54</v>
      </c>
      <c r="B11" s="18">
        <f>-B6*B19</f>
        <v>-1290564272.2021196</v>
      </c>
      <c r="C11" s="18">
        <f>-C6*C19</f>
        <v>-1380278475.7382145</v>
      </c>
      <c r="D11" s="18">
        <f>-D6*D19</f>
        <v>-1471233647.537219</v>
      </c>
      <c r="E11" s="18">
        <f>-E6*E19</f>
        <v>-1562876780.9254827</v>
      </c>
      <c r="F11" s="18">
        <f>-F6*F19</f>
        <v>-1654611503.7425232</v>
      </c>
      <c r="G11" s="18">
        <f>-G6*G19</f>
        <v>-1745803535.9449317</v>
      </c>
      <c r="H11" s="18">
        <f>-H6*H19</f>
        <v>-1835787147.3715355</v>
      </c>
      <c r="I11" s="18">
        <f>-I6*I19</f>
        <v>-1923872545.4903023</v>
      </c>
      <c r="J11" s="18">
        <f>-J6*J19</f>
        <v>-2009354096.3059232</v>
      </c>
      <c r="K11" s="18">
        <f>-K6*K19</f>
        <v>-2091519255.9685721</v>
      </c>
    </row>
    <row r="12" spans="1:11" x14ac:dyDescent="0.25">
      <c r="A12" t="s">
        <v>55</v>
      </c>
      <c r="B12" s="18">
        <f>-(B6-Assumptions!B29)*Assumptions!B11</f>
        <v>-75460866.25326294</v>
      </c>
      <c r="C12" s="18">
        <f>-(C6-B6)*Assumptions!B11</f>
        <v>-247941761.9979664</v>
      </c>
      <c r="D12" s="18">
        <f>-(D6-C6)*Assumptions!B11</f>
        <v>-243987659.9861398</v>
      </c>
      <c r="E12" s="18">
        <f>-(E6-D6)*Assumptions!B11</f>
        <v>-238251473.43953064</v>
      </c>
      <c r="F12" s="18">
        <f>-(F6-E6)*Assumptions!B11</f>
        <v>-230698212.65178782</v>
      </c>
      <c r="G12" s="18">
        <f>-(G6-F6)*Assumptions!B11</f>
        <v>-221314651.50992173</v>
      </c>
      <c r="H12" s="18">
        <f>-(H6-G6)*Assumptions!B11</f>
        <v>-210110649.8215483</v>
      </c>
      <c r="I12" s="18">
        <f>-(I6-H6)*Assumptions!B11</f>
        <v>-197120094.258213</v>
      </c>
      <c r="J12" s="18">
        <f>-(J6-I6)*Assumptions!B11</f>
        <v>-182401417.1596592</v>
      </c>
      <c r="K12" s="18">
        <f>-(K6-J6)*Assumptions!B11</f>
        <v>-166037661.3087491</v>
      </c>
    </row>
    <row r="13" spans="1:11" x14ac:dyDescent="0.25">
      <c r="A13" s="19" t="s">
        <v>56</v>
      </c>
      <c r="B13" s="20">
        <f>B9+B10+B11+B12</f>
        <v>2539601427.8060317</v>
      </c>
      <c r="C13" s="20">
        <f>C9+C10+C11+C12</f>
        <v>2476262891.3481793</v>
      </c>
      <c r="D13" s="20">
        <f>D9+D10+D11+D12</f>
        <v>2584947078.635424</v>
      </c>
      <c r="E13" s="20">
        <f>E9+E10+E11+E12</f>
        <v>2690124799.071708</v>
      </c>
      <c r="F13" s="20">
        <f>F9+F10+F11+F12</f>
        <v>2790970067.705509</v>
      </c>
      <c r="G13" s="20">
        <f>G9+G10+G11+G12</f>
        <v>2886662436.1444535</v>
      </c>
      <c r="H13" s="20">
        <f>H9+H10+H11+H12</f>
        <v>2976397728.048131</v>
      </c>
      <c r="I13" s="20">
        <f>I9+I10+I11+I12</f>
        <v>3059398980.6872025</v>
      </c>
      <c r="J13" s="20">
        <f>J9+J10+J11+J12</f>
        <v>3134927391.5771294</v>
      </c>
      <c r="K13" s="20">
        <f>K9+K10+K11+K12</f>
        <v>3202293060.391458</v>
      </c>
    </row>
    <row r="14" spans="1:11" x14ac:dyDescent="0.25">
      <c r="A14" t="s">
        <v>57</v>
      </c>
      <c r="B14" s="21">
        <f>1/(1+Assumptions!$B$26)^(1-0.5*Assumptions!$B$32)</f>
        <v>0.9645902636100085</v>
      </c>
      <c r="C14" s="21">
        <f>1/(1+Assumptions!$B$26)^(2-0.5*Assumptions!$B$32)</f>
        <v>0.89748794064582</v>
      </c>
      <c r="D14" s="21">
        <f>1/(1+Assumptions!$B$26)^(3-0.5*Assumptions!$B$32)</f>
        <v>0.8350536326067859</v>
      </c>
      <c r="E14" s="21">
        <f>1/(1+Assumptions!$B$26)^(4-0.5*Assumptions!$B$32)</f>
        <v>0.7769626061248366</v>
      </c>
      <c r="F14" s="21">
        <f>1/(1+Assumptions!$B$26)^(5-0.5*Assumptions!$B$32)</f>
        <v>0.7229127181110743</v>
      </c>
      <c r="G14" s="21">
        <f>1/(1+Assumptions!$B$26)^(6-0.5*Assumptions!$B$32)</f>
        <v>0.6726228442489207</v>
      </c>
      <c r="H14" s="21">
        <f>1/(1+Assumptions!$B$26)^(7-0.5*Assumptions!$B$32)</f>
        <v>0.6258314168101191</v>
      </c>
      <c r="I14" s="21">
        <f>1/(1+Assumptions!$B$26)^(8-0.5*Assumptions!$B$32)</f>
        <v>0.5822950641884767</v>
      </c>
      <c r="J14" s="21">
        <f>1/(1+Assumptions!$B$26)^(9-0.5*Assumptions!$B$32)</f>
        <v>0.5417873450752909</v>
      </c>
      <c r="K14" s="21">
        <f>1/(1+Assumptions!$B$26)^(10-0.5*Assumptions!$B$32)</f>
        <v>0.5040975706926508</v>
      </c>
    </row>
    <row r="15" spans="1:11" x14ac:dyDescent="0.25">
      <c r="A15" s="19" t="s">
        <v>58</v>
      </c>
      <c r="B15" s="20">
        <f>B13*B14</f>
        <v>2449674810.7117743</v>
      </c>
      <c r="C15" s="20">
        <f>C13*C14</f>
        <v>2222416082.8537416</v>
      </c>
      <c r="D15" s="20">
        <f>D13*D14</f>
        <v>2158569448.11081</v>
      </c>
      <c r="E15" s="20">
        <f>E13*E14</f>
        <v>2090126374.6878068</v>
      </c>
      <c r="F15" s="20">
        <f>F13*F14</f>
        <v>2017627757.8116386</v>
      </c>
      <c r="G15" s="20">
        <f>G13*G14</f>
        <v>1941635098.1860008</v>
      </c>
      <c r="H15" s="20">
        <f>H13*H14</f>
        <v>1862723207.1347814</v>
      </c>
      <c r="I15" s="20">
        <f>I13*I14</f>
        <v>1781472925.8374145</v>
      </c>
      <c r="J15" s="20">
        <f>J13*J14</f>
        <v>1698463988.4863799</v>
      </c>
      <c r="K15" s="20">
        <f>K13*K14</f>
        <v>1614268152.3892682</v>
      </c>
    </row>
    <row r="17" spans="1:2" x14ac:dyDescent="0.25">
      <c r="A17" s="22" t="s">
        <v>59</v>
      </c>
      <c r="B17" s="23">
        <f>SUM(B15:K15)</f>
        <v>19836977846.209614</v>
      </c>
    </row>
    <row r="19" spans="1:11" x14ac:dyDescent="0.25">
      <c r="A19" t="s">
        <v>7</v>
      </c>
      <c r="B19" s="9">
        <f>Assumptions!$B$10+($B$20-Assumptions!$B$10)*0/9</f>
        <v>0.05727396364942341</v>
      </c>
      <c r="C19" s="9">
        <f>Assumptions!$B$10+($B$20-Assumptions!$B$10)*1/9</f>
        <v>0.05828765165294621</v>
      </c>
      <c r="D19" s="9">
        <f>Assumptions!$B$10+($B$20-Assumptions!$B$10)*2/9</f>
        <v>0.059301339656469</v>
      </c>
      <c r="E19" s="9">
        <f>Assumptions!$B$10+($B$20-Assumptions!$B$10)*3/9</f>
        <v>0.0603150276599918</v>
      </c>
      <c r="F19" s="9">
        <f>Assumptions!$B$10+($B$20-Assumptions!$B$10)*4/9</f>
        <v>0.06132871566351459</v>
      </c>
      <c r="G19" s="9">
        <f>Assumptions!$B$10+($B$20-Assumptions!$B$10)*5/9</f>
        <v>0.06234240366703739</v>
      </c>
      <c r="H19" s="9">
        <f>Assumptions!$B$10+($B$20-Assumptions!$B$10)*6/9</f>
        <v>0.06335609167056018</v>
      </c>
      <c r="I19" s="9">
        <f>Assumptions!$B$10+($B$20-Assumptions!$B$10)*7/9</f>
        <v>0.06436977967408297</v>
      </c>
      <c r="J19" s="9">
        <f>Assumptions!$B$10+($B$20-Assumptions!$B$10)*8/9</f>
        <v>0.06538346767760578</v>
      </c>
      <c r="K19" s="9">
        <f>Assumptions!$B$10+($B$20-Assumptions!$B$10)*9/9</f>
        <v>0.06639715568112857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0.06639715568112857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3202293060.391458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3980089803.2815075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0.15370484381455837</v>
      </c>
    </row>
    <row r="7" spans="1:2" x14ac:dyDescent="0.25">
      <c r="A7" t="s">
        <v>66</v>
      </c>
      <c r="B7" s="18">
        <f>-MAX(B5,0)*B6</f>
        <v>-611759081.5813005</v>
      </c>
    </row>
    <row r="8" spans="1:2" x14ac:dyDescent="0.25">
      <c r="A8" t="s">
        <v>67</v>
      </c>
      <c r="B8" s="18">
        <f>IF(OR(Assumptions!$B$33=0,Assumptions!B12&lt;=0),B5,MAX(B5+B7,0))</f>
        <v>3368330721.7002068</v>
      </c>
    </row>
    <row r="9" spans="1:2" x14ac:dyDescent="0.25">
      <c r="A9" t="s">
        <v>68</v>
      </c>
      <c r="B9" s="18">
        <f>B8*(1+Assumptions!B12)/(Assumptions!B26-Assumptions!B12)</f>
        <v>69374308169.85757</v>
      </c>
    </row>
    <row r="10" spans="1:2" x14ac:dyDescent="0.25">
      <c r="A10" t="s">
        <v>69</v>
      </c>
      <c r="B10" s="18">
        <f>B9/(1+Assumptions!B26)^(10-0.5*Assumptions!B32)</f>
        <v>34971420216.90852</v>
      </c>
    </row>
    <row r="11" spans="1:2" x14ac:dyDescent="0.25">
      <c r="A11" t="s">
        <v>70</v>
      </c>
      <c r="B11" s="18">
        <f>Forecast!B17+B10</f>
        <v>54808398063.11813</v>
      </c>
    </row>
    <row r="12" spans="1:2" x14ac:dyDescent="0.25">
      <c r="A12" t="s">
        <v>71</v>
      </c>
      <c r="B12" s="18">
        <f>-Assumptions!B30</f>
        <v>-5927000000</v>
      </c>
    </row>
    <row r="13" spans="1:2" x14ac:dyDescent="0.25">
      <c r="A13" t="s">
        <v>72</v>
      </c>
      <c r="B13" s="18">
        <f>B11+B12</f>
        <v>48881398063.11813</v>
      </c>
    </row>
    <row r="14" spans="1:2" x14ac:dyDescent="0.25">
      <c r="A14" s="19" t="s">
        <v>73</v>
      </c>
      <c r="B14" s="24">
        <f>B13/Assumptions!B31</f>
        <v>57.305273227571085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6517848532.971458</v>
      </c>
    </row>
    <row r="18" spans="1:2" x14ac:dyDescent="0.25">
      <c r="A18" t="s">
        <v>68</v>
      </c>
      <c r="B18" s="18">
        <f>B17*Assumptions!B13</f>
        <v>53280510794.80528</v>
      </c>
    </row>
    <row r="19" spans="1:2" x14ac:dyDescent="0.25">
      <c r="A19" t="s">
        <v>69</v>
      </c>
      <c r="B19" s="18">
        <f>B18/(1+Assumptions!B26)^(10-0.5*Assumptions!B32)</f>
        <v>26858576056.9249</v>
      </c>
    </row>
    <row r="20" spans="1:2" x14ac:dyDescent="0.25">
      <c r="A20" t="s">
        <v>70</v>
      </c>
      <c r="B20" s="18">
        <f>Forecast!B17+B19</f>
        <v>46695553903.134514</v>
      </c>
    </row>
    <row r="21" spans="1:2" x14ac:dyDescent="0.25">
      <c r="A21" t="s">
        <v>71</v>
      </c>
      <c r="B21" s="18">
        <f>-Assumptions!B30</f>
        <v>-5927000000</v>
      </c>
    </row>
    <row r="22" spans="1:2" x14ac:dyDescent="0.25">
      <c r="A22" t="s">
        <v>72</v>
      </c>
      <c r="B22" s="18">
        <f>B20+B21</f>
        <v>40768553903.134514</v>
      </c>
    </row>
    <row r="23" spans="1:2" x14ac:dyDescent="0.25">
      <c r="A23" s="19" t="s">
        <v>73</v>
      </c>
      <c r="B23" s="25">
        <f>B22/Assumptions!B31</f>
        <v>47.794318761001776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34.61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57.305273227571085</v>
      </c>
    </row>
    <row r="29" spans="1:2" x14ac:dyDescent="0.25">
      <c r="A29" s="19" t="s">
        <v>81</v>
      </c>
      <c r="B29" s="11">
        <f>B28/B26-1</f>
        <v>0.6557432310768878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0.054767</v>
      </c>
      <c r="B5" s="31">
        <v>84.53209605116571</v>
      </c>
      <c r="C5" s="31">
        <v>91.27205364512879</v>
      </c>
      <c r="D5" s="31">
        <v>100.40178243036036</v>
      </c>
      <c r="E5" s="31">
        <v>113.3686344425946</v>
      </c>
      <c r="F5" s="31">
        <v>133.0843741582335</v>
      </c>
    </row>
    <row r="6" spans="1:6" x14ac:dyDescent="0.25">
      <c r="A6" s="30">
        <v>0.064767</v>
      </c>
      <c r="B6" s="31">
        <v>65.80448794764014</v>
      </c>
      <c r="C6" s="31">
        <v>69.14824254810536</v>
      </c>
      <c r="D6" s="31">
        <v>73.42156210961632</v>
      </c>
      <c r="E6" s="31">
        <v>79.02550149499372</v>
      </c>
      <c r="F6" s="31">
        <v>86.6305783028533</v>
      </c>
    </row>
    <row r="7" spans="1:6" x14ac:dyDescent="0.25">
      <c r="A7" s="30">
        <v>0.074767</v>
      </c>
      <c r="B7" s="31">
        <v>53.379819031697004</v>
      </c>
      <c r="C7" s="31">
        <v>55.132809580603436</v>
      </c>
      <c r="D7" s="32">
        <v>57.305046836250405</v>
      </c>
      <c r="E7" s="31">
        <v>60.03700705572703</v>
      </c>
      <c r="F7" s="31">
        <v>63.53981615895298</v>
      </c>
    </row>
    <row r="8" spans="1:6" x14ac:dyDescent="0.25">
      <c r="A8" s="30">
        <v>0.084767</v>
      </c>
      <c r="B8" s="31">
        <v>44.5451030626333</v>
      </c>
      <c r="C8" s="31">
        <v>45.46770915133596</v>
      </c>
      <c r="D8" s="31">
        <v>46.59746071688569</v>
      </c>
      <c r="E8" s="31">
        <v>47.99109232850681</v>
      </c>
      <c r="F8" s="31">
        <v>49.72813863146764</v>
      </c>
    </row>
    <row r="9" spans="1:6" x14ac:dyDescent="0.25">
      <c r="A9" s="30">
        <v>0.094767</v>
      </c>
      <c r="B9" s="31">
        <v>37.948041138328705</v>
      </c>
      <c r="C9" s="31">
        <v>38.40562995412938</v>
      </c>
      <c r="D9" s="31">
        <v>38.97161167555529</v>
      </c>
      <c r="E9" s="31">
        <v>39.671090037292</v>
      </c>
      <c r="F9" s="31">
        <v>40.537569307659155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22184000000</v>
      </c>
      <c r="C5" s="18">
        <v>22944000000</v>
      </c>
      <c r="D5" s="18">
        <v>23018000000</v>
      </c>
      <c r="E5" s="18">
        <v>20297000000</v>
      </c>
      <c r="F5" s="6" t="s">
        <v>91</v>
      </c>
    </row>
    <row r="6" spans="1:6" x14ac:dyDescent="0.25">
      <c r="A6" t="s">
        <v>51</v>
      </c>
      <c r="B6" s="18">
        <v>3091000000</v>
      </c>
      <c r="C6" s="18">
        <v>3938000000</v>
      </c>
      <c r="D6" s="18">
        <v>4083000000</v>
      </c>
      <c r="E6" s="18">
        <v>3073000000</v>
      </c>
      <c r="F6" s="6" t="s">
        <v>92</v>
      </c>
    </row>
    <row r="7" spans="1:6" x14ac:dyDescent="0.25">
      <c r="A7" t="s">
        <v>93</v>
      </c>
      <c r="B7" s="18">
        <v>1136000000</v>
      </c>
      <c r="C7" s="18">
        <v>1079000000</v>
      </c>
      <c r="D7" s="18">
        <v>998000000</v>
      </c>
      <c r="E7" s="18">
        <v>940000000</v>
      </c>
      <c r="F7" s="6" t="s">
        <v>94</v>
      </c>
    </row>
    <row r="8" spans="1:6" x14ac:dyDescent="0.25">
      <c r="A8" t="s">
        <v>95</v>
      </c>
      <c r="B8" s="18">
        <v>1254000000</v>
      </c>
      <c r="C8" s="18">
        <v>1442000000</v>
      </c>
      <c r="D8" s="18">
        <v>1379000000</v>
      </c>
      <c r="E8" s="18">
        <v>1011000000</v>
      </c>
      <c r="F8" s="6" t="s">
        <v>96</v>
      </c>
    </row>
    <row r="9" spans="1:6" x14ac:dyDescent="0.25">
      <c r="A9" t="s">
        <v>97</v>
      </c>
      <c r="B9" s="18">
        <v>-196000000</v>
      </c>
      <c r="C9" s="18">
        <v>103000000</v>
      </c>
      <c r="D9" s="18">
        <v>511000000</v>
      </c>
      <c r="E9" s="18">
        <v>941000000</v>
      </c>
      <c r="F9" s="6" t="s">
        <v>98</v>
      </c>
    </row>
    <row r="10" spans="1:6" x14ac:dyDescent="0.25">
      <c r="A10" t="s">
        <v>99</v>
      </c>
      <c r="B10" s="18">
        <v>8133000000</v>
      </c>
      <c r="C10" s="18">
        <v>8602000000</v>
      </c>
      <c r="D10" s="18">
        <v>8809000000</v>
      </c>
      <c r="E10" s="18">
        <v>8943000000</v>
      </c>
      <c r="F10" s="6" t="s">
        <v>100</v>
      </c>
    </row>
    <row r="11" spans="1:6" x14ac:dyDescent="0.25">
      <c r="A11" t="s">
        <v>101</v>
      </c>
      <c r="B11" s="18">
        <v>2206000000</v>
      </c>
      <c r="C11" s="18">
        <v>2618000000</v>
      </c>
      <c r="D11" s="18">
        <v>2264000000</v>
      </c>
      <c r="E11" s="18">
        <v>2346000000</v>
      </c>
      <c r="F11" s="6" t="s">
        <v>102</v>
      </c>
    </row>
    <row r="12" spans="1:6" x14ac:dyDescent="0.25">
      <c r="A12" t="s">
        <v>34</v>
      </c>
      <c r="B12" s="34">
        <v>853000000</v>
      </c>
      <c r="C12" s="34">
        <v>883000000</v>
      </c>
      <c r="D12" s="34">
        <v>902000000</v>
      </c>
      <c r="E12" s="34">
        <v>908000000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