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<sst xmlns="http://schemas.openxmlformats.org/spreadsheetml/2006/main" count="119" uniqueCount="106">
  <si>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Hasbro, Inc. (HAS)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</si>
  <si>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</si>
  <si>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</si>
  <si>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</si>
  <si>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</si>
  <si>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</si>
  <si>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</si>
  <si>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</si>
  <si>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</si>
  <si>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</si>
  <si>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</si>
  <si>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</si>
  <si>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</si>
  <si>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</si>
  <si>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</si>
  <si>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</si>
  <si>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</si>
  <si>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</si>
  <si>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</si>
  <si>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</si>
  <si>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</si>
  <si>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</si>
  <si>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</si>
  <si>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</si>
  <si>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6.5x interest cover. Book interest / average debt was lower, at 4.9%.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</si>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</sst>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0.0987417522812839</v>
      </c>
    </row>
    <row r="7" spans="1:2" x14ac:dyDescent="0.25">
      <c r="A7" t="s">
        <v>4</v>
      </c>
      <c r="B7" s="5">
        <v>0.12814414869659596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0.08854238664926783</v>
      </c>
    </row>
    <row r="10" spans="1:3" x14ac:dyDescent="0.25">
      <c r="A10" t="s">
        <v>7</v>
      </c>
      <c r="B10" s="5">
        <v>0.0403782873974262</v>
      </c>
      <c r="C10" s="6" t="s">
        <v>8</v>
      </c>
    </row>
    <row r="11" spans="1:2" x14ac:dyDescent="0.25">
      <c r="A11" t="s">
        <v>9</v>
      </c>
      <c r="B11" s="5">
        <v>0.20774414636669578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15.513003758236394</v>
      </c>
    </row>
    <row r="14" spans="1:3" x14ac:dyDescent="0.25">
      <c r="A14" t="s">
        <v>12</v>
      </c>
      <c r="B14" s="5">
        <v>0.08827710828159477</v>
      </c>
      <c r="C14" s="6" t="s">
        <v>13</v>
      </c>
    </row>
    <row r="15" spans="1:3" x14ac:dyDescent="0.25">
      <c r="A15" t="s">
        <v>14</v>
      </c>
      <c r="B15" s="5">
        <v>0.021235344062222744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0.62547</v>
      </c>
      <c r="C19" s="6" t="s">
        <v>21</v>
      </c>
    </row>
    <row r="20" spans="1:2" x14ac:dyDescent="0.25">
      <c r="A20" t="s">
        <v>22</v>
      </c>
      <c r="B20" s="9">
        <f>B17+B19*B18</f>
        <v>0.075397381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16656235520</v>
      </c>
    </row>
    <row r="23" spans="1:2" x14ac:dyDescent="0.25">
      <c r="A23" t="s">
        <v>26</v>
      </c>
      <c r="B23" s="10">
        <v>3295500000</v>
      </c>
    </row>
    <row r="24" spans="1:2" x14ac:dyDescent="0.25">
      <c r="A24" t="s">
        <v>27</v>
      </c>
      <c r="B24" s="9">
        <f>B22/(B22+B23)</f>
        <v>0.8348263991021468</v>
      </c>
    </row>
    <row r="25" spans="1:2" x14ac:dyDescent="0.25">
      <c r="A25" t="s">
        <v>28</v>
      </c>
      <c r="B25" s="9">
        <f>1-B24</f>
        <v>0.16517360089785316</v>
      </c>
    </row>
    <row r="26" spans="1:2" x14ac:dyDescent="0.25">
      <c r="A26" t="s">
        <v>29</v>
      </c>
      <c r="B26" s="11">
        <f>B24*B20+B25*B21*(1-B8)</f>
        <v>0.0702431749570011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4701300000</v>
      </c>
      <c r="C29" s="6" t="s">
        <v>32</v>
      </c>
    </row>
    <row r="30" spans="1:2" x14ac:dyDescent="0.25">
      <c r="A30" t="s">
        <v>33</v>
      </c>
      <c r="B30" s="10">
        <v>2413900000</v>
      </c>
    </row>
    <row r="31" spans="1:2" x14ac:dyDescent="0.25">
      <c r="A31" t="s">
        <v>34</v>
      </c>
      <c r="B31" s="12">
        <v>140200000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0.0987417522812839</v>
      </c>
      <c r="C5" s="5">
        <v>0.07203552575381367</v>
      </c>
      <c r="D5" s="5">
        <v>0.06615608503458696</v>
      </c>
      <c r="E5" s="5">
        <v>0.06027664431536025</v>
      </c>
      <c r="F5" s="5">
        <v>0.05439720359613354</v>
      </c>
      <c r="G5" s="5">
        <v>0.04851776287690683</v>
      </c>
      <c r="H5" s="5">
        <v>0.042638322157680125</v>
      </c>
      <c r="I5" s="5">
        <v>0.03675888143845342</v>
      </c>
      <c r="J5" s="5">
        <v>0.030879440719226707</v>
      </c>
      <c r="K5" s="5">
        <v>0.025</v>
      </c>
    </row>
    <row r="6" spans="1:11" x14ac:dyDescent="0.25">
      <c r="A6" t="s">
        <v>50</v>
      </c>
      <c r="B6" s="18">
        <f>Assumptions!B29*(1+B5)</f>
        <v>5165514600</v>
      </c>
      <c r="C6" s="18">
        <f>B6*(1+C5)</f>
        <v>5537615160.000001</v>
      </c>
      <c r="D6" s="18">
        <f>C6*(1+D5)</f>
        <v>5903962099.413779</v>
      </c>
      <c r="E6" s="18">
        <f>D6*(1+E5)</f>
        <v>6259833122.931511</v>
      </c>
      <c r="F6" s="18">
        <f>E6*(1+F5)</f>
        <v>6600350539.797437</v>
      </c>
      <c r="G6" s="18">
        <f>F6*(1+G5)</f>
        <v>6920584782.191793</v>
      </c>
      <c r="H6" s="18">
        <f>G6*(1+H5)</f>
        <v>7215666905.654425</v>
      </c>
      <c r="I6" s="18">
        <f>H6*(1+I5)</f>
        <v>7480906749.938747</v>
      </c>
      <c r="J6" s="18">
        <f>I6*(1+J5)</f>
        <v>7711912966.449544</v>
      </c>
      <c r="K6" s="18">
        <f>J6*(1+K5)</f>
        <v>7904710790.610782</v>
      </c>
    </row>
    <row r="7" spans="1:11" x14ac:dyDescent="0.25">
      <c r="A7" t="s">
        <v>4</v>
      </c>
      <c r="B7" s="9">
        <f>Assumptions!B7</f>
        <v>0.12814414869659596</v>
      </c>
      <c r="C7" s="9">
        <f>Assumptions!B7</f>
        <v>0.12814414869659596</v>
      </c>
      <c r="D7" s="9">
        <f>Assumptions!B7</f>
        <v>0.12814414869659596</v>
      </c>
      <c r="E7" s="9">
        <f>Assumptions!B7</f>
        <v>0.12814414869659596</v>
      </c>
      <c r="F7" s="9">
        <f>Assumptions!B7</f>
        <v>0.12814414869659596</v>
      </c>
      <c r="G7" s="9">
        <f>Assumptions!B7</f>
        <v>0.12814414869659596</v>
      </c>
      <c r="H7" s="9">
        <f>Assumptions!B7</f>
        <v>0.12814414869659596</v>
      </c>
      <c r="I7" s="9">
        <f>Assumptions!B7</f>
        <v>0.12814414869659596</v>
      </c>
      <c r="J7" s="9">
        <f>Assumptions!B7</f>
        <v>0.12814414869659596</v>
      </c>
      <c r="K7" s="9">
        <f>Assumptions!B7</f>
        <v>0.12814414869659596</v>
      </c>
    </row>
    <row r="8" spans="1:11" x14ac:dyDescent="0.25">
      <c r="A8" t="s">
        <v>51</v>
      </c>
      <c r="B8" s="18">
        <f>B6*B7</f>
        <v>661930470.9968374</v>
      </c>
      <c r="C8" s="18">
        <f>C6*C7</f>
        <v>709612980.4875642</v>
      </c>
      <c r="D8" s="18">
        <f>D6*D7</f>
        <v>756558197.1663462</v>
      </c>
      <c r="E8" s="18">
        <f>E6*E7</f>
        <v>802160986.5208122</v>
      </c>
      <c r="F8" s="18">
        <f>F6*F7</f>
        <v>845796301.0214602</v>
      </c>
      <c r="G8" s="18">
        <f>G6*G7</f>
        <v>886832445.3965844</v>
      </c>
      <c r="H8" s="18">
        <f>H6*H7</f>
        <v>924645492.903287</v>
      </c>
      <c r="I8" s="18">
        <f>I6*I7</f>
        <v>958634426.9495193</v>
      </c>
      <c r="J8" s="18">
        <f>J6*J7</f>
        <v>988236521.9079168</v>
      </c>
      <c r="K8" s="18">
        <f>K6*K7</f>
        <v>1012942434.9556146</v>
      </c>
    </row>
    <row r="9" spans="1:11" x14ac:dyDescent="0.25">
      <c r="A9" t="s">
        <v>52</v>
      </c>
      <c r="B9" s="18">
        <f>B8*(1-Assumptions!B8)</f>
        <v>522925072.0875015</v>
      </c>
      <c r="C9" s="18">
        <f>C8*(1-Assumptions!B8)</f>
        <v>560594254.5851758</v>
      </c>
      <c r="D9" s="18">
        <f>D8*(1-Assumptions!B8)</f>
        <v>597680975.7614136</v>
      </c>
      <c r="E9" s="18">
        <f>E8*(1-Assumptions!B8)</f>
        <v>633707179.3514416</v>
      </c>
      <c r="F9" s="18">
        <f>F8*(1-Assumptions!B8)</f>
        <v>668179077.8069535</v>
      </c>
      <c r="G9" s="18">
        <f>G8*(1-Assumptions!B8)</f>
        <v>700597631.8633018</v>
      </c>
      <c r="H9" s="18">
        <f>H8*(1-Assumptions!B8)</f>
        <v>730469939.3935968</v>
      </c>
      <c r="I9" s="18">
        <f>I8*(1-Assumptions!B8)</f>
        <v>757321197.2901202</v>
      </c>
      <c r="J9" s="18">
        <f>J8*(1-Assumptions!B8)</f>
        <v>780706852.3072543</v>
      </c>
      <c r="K9" s="18">
        <f>K8*(1-Assumptions!B8)</f>
        <v>800224523.6149355</v>
      </c>
    </row>
    <row r="10" spans="1:11" x14ac:dyDescent="0.25">
      <c r="A10" t="s">
        <v>53</v>
      </c>
      <c r="B10" s="18">
        <f>B6*Assumptions!B9</f>
        <v>457366990.95563805</v>
      </c>
      <c r="C10" s="18">
        <f>C6*Assumptions!B9</f>
        <v>490313662.61156726</v>
      </c>
      <c r="D10" s="18">
        <f>D6*Assumptions!B9</f>
        <v>522750894.9689179</v>
      </c>
      <c r="E10" s="18">
        <f>E6*Assumptions!B9</f>
        <v>554260564.7304956</v>
      </c>
      <c r="F10" s="18">
        <f>F6*Assumptions!B9</f>
        <v>584410789.5154483</v>
      </c>
      <c r="G10" s="18">
        <f>G6*Assumptions!B9</f>
        <v>612765093.6238648</v>
      </c>
      <c r="H10" s="18">
        <f>H6*Assumptions!B9</f>
        <v>638892369.0927801</v>
      </c>
      <c r="I10" s="18">
        <f>I6*Assumptions!B9</f>
        <v>662377337.9401941</v>
      </c>
      <c r="J10" s="18">
        <f>J6*Assumptions!B9</f>
        <v>682831179.6808776</v>
      </c>
      <c r="K10" s="18">
        <f>K6*Assumptions!B9</f>
        <v>699901959.1728995</v>
      </c>
    </row>
    <row r="11" spans="1:11" x14ac:dyDescent="0.25">
      <c r="A11" t="s">
        <v>54</v>
      </c>
      <c r="B11" s="18">
        <f>-B6*B19</f>
        <v>-208574633.07440105</v>
      </c>
      <c r="C11" s="18">
        <f>-C6*C19</f>
        <v>-238726228.10703337</v>
      </c>
      <c r="D11" s="18">
        <f>-D6*D19</f>
        <v>-270646963.0736957</v>
      </c>
      <c r="E11" s="18">
        <f>-E6*E19</f>
        <v>-304060310.25405365</v>
      </c>
      <c r="F11" s="18">
        <f>-F6*F19</f>
        <v>-338630170.8020299</v>
      </c>
      <c r="G11" s="18">
        <f>-G6*G19</f>
        <v>-373964346.0915629</v>
      </c>
      <c r="H11" s="18">
        <f>-H6*H19</f>
        <v>-409620215.6107191</v>
      </c>
      <c r="I11" s="18">
        <f>-I6*I19</f>
        <v>-445112595.5192764</v>
      </c>
      <c r="J11" s="18">
        <f>-J6*J19</f>
        <v>-479923650.0092462</v>
      </c>
      <c r="K11" s="18">
        <f>-K6*K19</f>
        <v>-513514623.4048096</v>
      </c>
    </row>
    <row r="12" spans="1:11" x14ac:dyDescent="0.25">
      <c r="A12" t="s">
        <v>55</v>
      </c>
      <c r="B12" s="18">
        <f>-(B6-Assumptions!B29)*Assumptions!B11</f>
        <v>-96437865.80795713</v>
      </c>
      <c r="C12" s="18">
        <f>-(C6-B6)*Assumptions!B11</f>
        <v>-77301713.19976966</v>
      </c>
      <c r="D12" s="18">
        <f>-(D6-C6)*Assumptions!B11</f>
        <v>-76106432.202567</v>
      </c>
      <c r="E12" s="18">
        <f>-(E6-D6)*Assumptions!B11</f>
        <v>-73930121.99733348</v>
      </c>
      <c r="F12" s="18">
        <f>-(F6-E6)*Assumptions!B11</f>
        <v>-70740500.08980405</v>
      </c>
      <c r="G12" s="18">
        <f>-(G6-F6)*Assumptions!B11</f>
        <v>-66526789.32360118</v>
      </c>
      <c r="H12" s="18">
        <f>-(H6-G6)*Assumptions!B11</f>
        <v>-61301583.84681626</v>
      </c>
      <c r="I12" s="18">
        <f>-(I6-H6)*Assumptions!B11</f>
        <v>-55102025.03328194</v>
      </c>
      <c r="J12" s="18">
        <f>-(J6-I6)*Assumptions!B11</f>
        <v>-47990189.25443553</v>
      </c>
      <c r="K12" s="18">
        <f>-(K6-J6)*Assumptions!B11</f>
        <v>-40052619.401732646</v>
      </c>
    </row>
    <row r="13" spans="1:11" x14ac:dyDescent="0.25">
      <c r="A13" s="19" t="s">
        <v>56</v>
      </c>
      <c r="B13" s="20">
        <f>B9+B10+B11+B12</f>
        <v>675279564.1607814</v>
      </c>
      <c r="C13" s="20">
        <f>C9+C10+C11+C12</f>
        <v>734879975.88994</v>
      </c>
      <c r="D13" s="20">
        <f>D9+D10+D11+D12</f>
        <v>773678475.4540688</v>
      </c>
      <c r="E13" s="20">
        <f>E9+E10+E11+E12</f>
        <v>809977311.8305502</v>
      </c>
      <c r="F13" s="20">
        <f>F9+F10+F11+F12</f>
        <v>843219196.4305681</v>
      </c>
      <c r="G13" s="20">
        <f>G9+G10+G11+G12</f>
        <v>872871590.0720023</v>
      </c>
      <c r="H13" s="20">
        <f>H9+H10+H11+H12</f>
        <v>898440509.0288414</v>
      </c>
      <c r="I13" s="20">
        <f>I9+I10+I11+I12</f>
        <v>919483914.677756</v>
      </c>
      <c r="J13" s="20">
        <f>J9+J10+J11+J12</f>
        <v>935624192.7244503</v>
      </c>
      <c r="K13" s="20">
        <f>K9+K10+K11+K12</f>
        <v>946559239.9812928</v>
      </c>
    </row>
    <row r="14" spans="1:11" x14ac:dyDescent="0.25">
      <c r="A14" t="s">
        <v>57</v>
      </c>
      <c r="B14" s="21">
        <f>1/(1+Assumptions!$B$26)^(1-0.5*Assumptions!$B$32)</f>
        <v>0.9666266544468888</v>
      </c>
      <c r="C14" s="21">
        <f>1/(1+Assumptions!$B$26)^(2-0.5*Assumptions!$B$32)</f>
        <v>0.9031841333496237</v>
      </c>
      <c r="D14" s="21">
        <f>1/(1+Assumptions!$B$26)^(3-0.5*Assumptions!$B$32)</f>
        <v>0.8439055295876199</v>
      </c>
      <c r="E14" s="21">
        <f>1/(1+Assumptions!$B$26)^(4-0.5*Assumptions!$B$32)</f>
        <v>0.7885175531453635</v>
      </c>
      <c r="F14" s="21">
        <f>1/(1+Assumptions!$B$26)^(5-0.5*Assumptions!$B$32)</f>
        <v>0.736764850826583</v>
      </c>
      <c r="G14" s="21">
        <f>1/(1+Assumptions!$B$26)^(6-0.5*Assumptions!$B$32)</f>
        <v>0.6884088290085885</v>
      </c>
      <c r="H14" s="21">
        <f>1/(1+Assumptions!$B$26)^(7-0.5*Assumptions!$B$32)</f>
        <v>0.6432265536626725</v>
      </c>
      <c r="I14" s="21">
        <f>1/(1+Assumptions!$B$26)^(8-0.5*Assumptions!$B$32)</f>
        <v>0.6010097225693732</v>
      </c>
      <c r="J14" s="21">
        <f>1/(1+Assumptions!$B$26)^(9-0.5*Assumptions!$B$32)</f>
        <v>0.5615637049902419</v>
      </c>
      <c r="K14" s="21">
        <f>1/(1+Assumptions!$B$26)^(10-0.5*Assumptions!$B$32)</f>
        <v>0.524706644368747</v>
      </c>
    </row>
    <row r="15" spans="1:11" x14ac:dyDescent="0.25">
      <c r="A15" s="19" t="s">
        <v>58</v>
      </c>
      <c r="B15" s="20">
        <f>B13*B14</f>
        <v>652743225.9210893</v>
      </c>
      <c r="C15" s="20">
        <f>C13*C14</f>
        <v>663731934.1401478</v>
      </c>
      <c r="D15" s="20">
        <f>D13*D14</f>
        <v>652911543.5586083</v>
      </c>
      <c r="E15" s="20">
        <f>E13*E14</f>
        <v>638681328.0278846</v>
      </c>
      <c r="F15" s="20">
        <f>F13*F14</f>
        <v>621254265.4722787</v>
      </c>
      <c r="G15" s="20">
        <f>G13*G14</f>
        <v>600892509.1963317</v>
      </c>
      <c r="H15" s="20">
        <f>H13*H14</f>
        <v>577900792.2935588</v>
      </c>
      <c r="I15" s="20">
        <f>I13*I14</f>
        <v>552618772.4674793</v>
      </c>
      <c r="J15" s="20">
        <f>J13*J14</f>
        <v>525412588.14484644</v>
      </c>
      <c r="K15" s="20">
        <f>K13*K14</f>
        <v>496665922.50681573</v>
      </c>
    </row>
    <row r="17" spans="1:2" x14ac:dyDescent="0.25">
      <c r="A17" s="22" t="s">
        <v>59</v>
      </c>
      <c r="B17" s="23">
        <f>SUM(B15:K15)</f>
        <v>5982812881.729041</v>
      </c>
    </row>
    <row r="19" spans="1:11" x14ac:dyDescent="0.25">
      <c r="A19" t="s">
        <v>7</v>
      </c>
      <c r="B19" s="9">
        <f>Assumptions!$B$10+($B$20-Assumptions!$B$10)*0/9</f>
        <v>0.0403782873974262</v>
      </c>
      <c r="C19" s="9">
        <f>Assumptions!$B$10+($B$20-Assumptions!$B$10)*1/9</f>
        <v>0.04310993472992322</v>
      </c>
      <c r="D19" s="9">
        <f>Assumptions!$B$10+($B$20-Assumptions!$B$10)*2/9</f>
        <v>0.04584158206242025</v>
      </c>
      <c r="E19" s="9">
        <f>Assumptions!$B$10+($B$20-Assumptions!$B$10)*3/9</f>
        <v>0.04857322939491727</v>
      </c>
      <c r="F19" s="9">
        <f>Assumptions!$B$10+($B$20-Assumptions!$B$10)*4/9</f>
        <v>0.051304876727414295</v>
      </c>
      <c r="G19" s="9">
        <f>Assumptions!$B$10+($B$20-Assumptions!$B$10)*5/9</f>
        <v>0.054036524059911314</v>
      </c>
      <c r="H19" s="9">
        <f>Assumptions!$B$10+($B$20-Assumptions!$B$10)*6/9</f>
        <v>0.056768171392408334</v>
      </c>
      <c r="I19" s="9">
        <f>Assumptions!$B$10+($B$20-Assumptions!$B$10)*7/9</f>
        <v>0.05949981872490536</v>
      </c>
      <c r="J19" s="9">
        <f>Assumptions!$B$10+($B$20-Assumptions!$B$10)*8/9</f>
        <v>0.06223146605740239</v>
      </c>
      <c r="K19" s="9">
        <f>Assumptions!$B$10+($B$20-Assumptions!$B$10)*9/9</f>
        <v>0.06496311338989941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0.06496311338989941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946559239.9812928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1220538261.2142482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0.28319912700643307</v>
      </c>
    </row>
    <row r="7" spans="1:2" x14ac:dyDescent="0.25">
      <c r="A7" t="s">
        <v>66</v>
      </c>
      <c r="B7" s="18">
        <f>-MAX(B5,0)*B6</f>
        <v>-345655370.05382484</v>
      </c>
    </row>
    <row r="8" spans="1:2" x14ac:dyDescent="0.25">
      <c r="A8" t="s">
        <v>67</v>
      </c>
      <c r="B8" s="18">
        <f>IF(OR(Assumptions!$B$33=0,Assumptions!B12&lt;=0),B5,MAX(B5+B7,0))</f>
        <v>874882891.1604233</v>
      </c>
    </row>
    <row r="9" spans="1:2" x14ac:dyDescent="0.25">
      <c r="A9" t="s">
        <v>68</v>
      </c>
      <c r="B9" s="18">
        <f>B8*(1+Assumptions!B12)/(Assumptions!B26-Assumptions!B12)</f>
        <v>19820778808.996178</v>
      </c>
    </row>
    <row r="10" spans="1:2" x14ac:dyDescent="0.25">
      <c r="A10" t="s">
        <v>69</v>
      </c>
      <c r="B10" s="18">
        <f>B9/(1+Assumptions!B26)^(10-0.5*Assumptions!B32)</f>
        <v>10400094337.643555</v>
      </c>
    </row>
    <row r="11" spans="1:2" x14ac:dyDescent="0.25">
      <c r="A11" t="s">
        <v>70</v>
      </c>
      <c r="B11" s="18">
        <f>Forecast!B17+B10</f>
        <v>16382907219.372597</v>
      </c>
    </row>
    <row r="12" spans="1:2" x14ac:dyDescent="0.25">
      <c r="A12" t="s">
        <v>71</v>
      </c>
      <c r="B12" s="18">
        <f>-Assumptions!B30</f>
        <v>-2413900000</v>
      </c>
    </row>
    <row r="13" spans="1:2" x14ac:dyDescent="0.25">
      <c r="A13" t="s">
        <v>72</v>
      </c>
      <c r="B13" s="18">
        <f>B11+B12</f>
        <v>13969007219.372597</v>
      </c>
    </row>
    <row r="14" spans="1:2" x14ac:dyDescent="0.25">
      <c r="A14" s="19" t="s">
        <v>73</v>
      </c>
      <c r="B14" s="24">
        <f>B13/Assumptions!B31</f>
        <v>99.636285444883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1712844394.128514</v>
      </c>
    </row>
    <row r="18" spans="1:2" x14ac:dyDescent="0.25">
      <c r="A18" t="s">
        <v>68</v>
      </c>
      <c r="B18" s="18">
        <f>B17*Assumptions!B13</f>
        <v>26571361523.38978</v>
      </c>
    </row>
    <row r="19" spans="1:2" x14ac:dyDescent="0.25">
      <c r="A19" t="s">
        <v>69</v>
      </c>
      <c r="B19" s="18">
        <f>B18/(1+Assumptions!B26)^(10-0.5*Assumptions!B32)</f>
        <v>13942169941.246689</v>
      </c>
    </row>
    <row r="20" spans="1:2" x14ac:dyDescent="0.25">
      <c r="A20" t="s">
        <v>70</v>
      </c>
      <c r="B20" s="18">
        <f>Forecast!B17+B19</f>
        <v>19924982822.97573</v>
      </c>
    </row>
    <row r="21" spans="1:2" x14ac:dyDescent="0.25">
      <c r="A21" t="s">
        <v>71</v>
      </c>
      <c r="B21" s="18">
        <f>-Assumptions!B30</f>
        <v>-2413900000</v>
      </c>
    </row>
    <row r="22" spans="1:2" x14ac:dyDescent="0.25">
      <c r="A22" t="s">
        <v>72</v>
      </c>
      <c r="B22" s="18">
        <f>B20+B21</f>
        <v>17511082822.97573</v>
      </c>
    </row>
    <row r="23" spans="1:2" x14ac:dyDescent="0.25">
      <c r="A23" s="19" t="s">
        <v>73</v>
      </c>
      <c r="B23" s="25">
        <f>B22/Assumptions!B31</f>
        <v>124.90073340210935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119.09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99.636285444883</v>
      </c>
    </row>
    <row r="29" spans="1:2" x14ac:dyDescent="0.25">
      <c r="A29" s="19" t="s">
        <v>81</v>
      </c>
      <c r="B29" s="11">
        <f>B28/B26-1</f>
        <v>-0.16335304857768917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0.050243</v>
      </c>
      <c r="B5" s="31">
        <v>163.3699662935931</v>
      </c>
      <c r="C5" s="31">
        <v>173.6704239955066</v>
      </c>
      <c r="D5" s="31">
        <v>188.56599854981852</v>
      </c>
      <c r="E5" s="31">
        <v>211.46165724329364</v>
      </c>
      <c r="F5" s="31">
        <v>250.22994892376033</v>
      </c>
    </row>
    <row r="6" spans="1:6" x14ac:dyDescent="0.25">
      <c r="A6" s="30">
        <v>0.060243</v>
      </c>
      <c r="B6" s="31">
        <v>123.43257407886206</v>
      </c>
      <c r="C6" s="31">
        <v>126.82455834575174</v>
      </c>
      <c r="D6" s="31">
        <v>131.52678427947106</v>
      </c>
      <c r="E6" s="31">
        <v>138.18910887180135</v>
      </c>
      <c r="F6" s="31">
        <v>147.97627006510936</v>
      </c>
    </row>
    <row r="7" spans="1:6" x14ac:dyDescent="0.25">
      <c r="A7" s="30">
        <v>0.070243</v>
      </c>
      <c r="B7" s="31">
        <v>97.9559061894509</v>
      </c>
      <c r="C7" s="31">
        <v>98.59748179982557</v>
      </c>
      <c r="D7" s="32">
        <v>99.63672059339989</v>
      </c>
      <c r="E7" s="31">
        <v>101.22184580770575</v>
      </c>
      <c r="F7" s="31">
        <v>103.58519567476003</v>
      </c>
    </row>
    <row r="8" spans="1:6" x14ac:dyDescent="0.25">
      <c r="A8" s="30">
        <v>0.080243</v>
      </c>
      <c r="B8" s="31">
        <v>80.2917365652453</v>
      </c>
      <c r="C8" s="31">
        <v>79.72053557591693</v>
      </c>
      <c r="D8" s="31">
        <v>79.24400467577203</v>
      </c>
      <c r="E8" s="31">
        <v>78.89040753015222</v>
      </c>
      <c r="F8" s="31">
        <v>78.70050196497246</v>
      </c>
    </row>
    <row r="9" spans="1:6" x14ac:dyDescent="0.25">
      <c r="A9" s="30">
        <v>0.090243</v>
      </c>
      <c r="B9" s="31">
        <v>67.59906770085912</v>
      </c>
      <c r="C9" s="31">
        <v>66.58645685539975</v>
      </c>
      <c r="D9" s="31">
        <v>65.57384600994038</v>
      </c>
      <c r="E9" s="31">
        <v>64.561235164481</v>
      </c>
      <c r="F9" s="31">
        <v>63.54862431902163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4701300000</v>
      </c>
      <c r="C5" s="18">
        <v>4135500000</v>
      </c>
      <c r="D5" s="18">
        <v>5003300000</v>
      </c>
      <c r="E5" s="18">
        <v>5856700000</v>
      </c>
      <c r="F5" s="6" t="s">
        <v>91</v>
      </c>
    </row>
    <row r="6" spans="1:6" x14ac:dyDescent="0.25">
      <c r="A6" t="s">
        <v>51</v>
      </c>
      <c r="B6" s="18">
        <v>1058000000</v>
      </c>
      <c r="C6" s="18">
        <v>727400000</v>
      </c>
      <c r="D6" s="18">
        <v>191400000</v>
      </c>
      <c r="E6" s="18">
        <v>429800000</v>
      </c>
      <c r="F6" s="6" t="s">
        <v>92</v>
      </c>
    </row>
    <row r="7" spans="1:6" x14ac:dyDescent="0.25">
      <c r="A7" t="s">
        <v>93</v>
      </c>
      <c r="B7" s="18">
        <v>171300000</v>
      </c>
      <c r="C7" s="18">
        <v>212300000</v>
      </c>
      <c r="D7" s="18">
        <v>659600000</v>
      </c>
      <c r="E7" s="18">
        <v>788100000</v>
      </c>
      <c r="F7" s="6" t="s">
        <v>94</v>
      </c>
    </row>
    <row r="8" spans="1:6" x14ac:dyDescent="0.25">
      <c r="A8" t="s">
        <v>95</v>
      </c>
      <c r="B8" s="18">
        <v>198300000</v>
      </c>
      <c r="C8" s="18">
        <v>197500000</v>
      </c>
      <c r="D8" s="18">
        <v>209300000</v>
      </c>
      <c r="E8" s="18">
        <v>174200000</v>
      </c>
      <c r="F8" s="6" t="s">
        <v>96</v>
      </c>
    </row>
    <row r="9" spans="1:6" x14ac:dyDescent="0.25">
      <c r="A9" t="s">
        <v>97</v>
      </c>
      <c r="B9" s="18">
        <v>310100000</v>
      </c>
      <c r="C9" s="18">
        <v>-84800000</v>
      </c>
      <c r="D9" s="18">
        <v>-201600000</v>
      </c>
      <c r="E9" s="18">
        <v>155300000</v>
      </c>
      <c r="F9" s="6" t="s">
        <v>98</v>
      </c>
    </row>
    <row r="10" spans="1:6" x14ac:dyDescent="0.25">
      <c r="A10" t="s">
        <v>99</v>
      </c>
      <c r="B10" s="18">
        <v>3295500000</v>
      </c>
      <c r="C10" s="18">
        <v>3410600000</v>
      </c>
      <c r="D10" s="18">
        <v>3496300000</v>
      </c>
      <c r="E10" s="18">
        <v>4006400000</v>
      </c>
      <c r="F10" s="6" t="s">
        <v>100</v>
      </c>
    </row>
    <row r="11" spans="1:6" x14ac:dyDescent="0.25">
      <c r="A11" t="s">
        <v>101</v>
      </c>
      <c r="B11" s="18">
        <v>881600000</v>
      </c>
      <c r="C11" s="18">
        <v>694700000</v>
      </c>
      <c r="D11" s="18">
        <v>544800000</v>
      </c>
      <c r="E11" s="18">
        <v>498600000</v>
      </c>
      <c r="F11" s="6" t="s">
        <v>102</v>
      </c>
    </row>
    <row r="12" spans="1:6" x14ac:dyDescent="0.25">
      <c r="A12" t="s">
        <v>34</v>
      </c>
      <c r="B12" s="34">
        <v>140200000</v>
      </c>
      <c r="C12" s="34">
        <v>140300000</v>
      </c>
      <c r="D12" s="34">
        <v>139000000</v>
      </c>
      <c r="E12" s="34">
        <v>138900000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