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<sst xmlns="http://schemas.openxmlformats.org/spreadsheetml/2006/main" count="113" uniqueCount="101">
  <si>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Huntington Bancshares Incorporated (HBAN)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</si>
  <si>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</si>
  <si>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</si>
  <si>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</si>
  <si>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</si>
  <si>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</si>
  <si>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</si>
  <si>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</si>
  <si>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</si>
  <si>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</si>
  <si>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</si>
  <si>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</si>
  <si>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</si>
  <si>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</si>
  <si>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</si>
  <si>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</si>
  <si>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</si>
  <si>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</si>
  <si>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</si>
  <si>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</si>
  <si>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</si>
  <si>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</si>
  <si>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Implied cost of debt of 24.8% is not a credible funding cost, so risk-free + 2bp is assumed instead. Interest expense and reported debt are measuring different things - common for banks, whose interest expense includes deposits that total debt excludes.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</si>
  <si>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</si>
  <si>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</si>
  <si>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</si>
  <si>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</si>
  <si>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</si>
  <si>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</si>
  <si>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</si>
  <si>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</si>
  <si>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</si>
  <si>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</si>
  <si>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</si>
  <si>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</si>
  <si>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</si>
  <si>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</si>
  <si>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</si>
  <si>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</si>
  <si>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</si>
  <si>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</si>
  <si>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</si>
  <si>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</si>
  <si>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</si>
  <si>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</si>
  <si>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</si>
  <si>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</si>
  <si>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</si>
  <si>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</si>
  <si>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</si>
  <si>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</si>
  <si>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</si>
  <si>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</si>
  <si>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</si>
  <si>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</si>
  <si>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</si>
  <si>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</si>
  <si>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</si>
  <si>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</si>
  <si>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</si>
  <si>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</si>
  <si>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</si>
  <si>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</si>
  <si>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</si>
  <si>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</si>
  <si>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</si>
  <si>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</si>
  <si>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</si>
  <si>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</si>
  <si>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</si>
  <si>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</si>
  <si>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</si>
  <si>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</si>
  <si>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</si>
  <si>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</si>
  <si>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</si>
  <si>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</si>
  <si>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</si>
  <si>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</si>
  <si>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</si>
  <si>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</si>
  <si>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</si>
  <si>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</si>
  <si>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</si>
  <si>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</si>
  <si>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</si>
  <si>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</si>
  <si>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</si>
  <si>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</si>
  <si>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</si>
  <si>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</si>
  <si>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</si>
  <si>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</si>
  <si>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</si>
  <si>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</si>
  <si>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</si>
  <si>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</si>
  <si>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</si>
  <si>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</si>
  <si>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Reported capital expenditure averages 2.52% of revenue against depreciation and amortisation of 8.83%. A business cannot depreciate more than it invests indefinitely. Capex has been set to 8.83%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</si>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</sst>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0.038776548989612136</v>
      </c>
    </row>
    <row r="7" spans="1:2" x14ac:dyDescent="0.25">
      <c r="A7" t="s">
        <v>5</v>
      </c>
      <c r="B7" s="6">
        <v>0.3403182535066757</v>
      </c>
    </row>
    <row r="8" spans="1:2" x14ac:dyDescent="0.25">
      <c r="A8" t="s">
        <v>6</v>
      </c>
      <c r="B8" s="6">
        <v>0.1787955736258089</v>
      </c>
    </row>
    <row r="9" spans="1:2" x14ac:dyDescent="0.25">
      <c r="A9" t="s">
        <v>7</v>
      </c>
      <c r="B9" s="6">
        <v>0.08829431238060738</v>
      </c>
    </row>
    <row r="10" spans="1:2" x14ac:dyDescent="0.25">
      <c r="A10" t="s">
        <v>8</v>
      </c>
      <c r="B10" s="6">
        <v>0.08829431238060738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10.569909314782608</v>
      </c>
    </row>
    <row r="14" spans="1:3" x14ac:dyDescent="0.25">
      <c r="A14" t="s">
        <v>12</v>
      </c>
      <c r="B14" s="6">
        <v>0.0862472926794218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0.9604699999999999</v>
      </c>
      <c r="C19" s="8" t="s">
        <v>19</v>
      </c>
    </row>
    <row r="20" spans="1:2" x14ac:dyDescent="0.25">
      <c r="A20" t="s">
        <v>20</v>
      </c>
      <c r="B20" s="10">
        <f>B17+B19*B18</f>
        <v>0.10280585</v>
      </c>
    </row>
    <row r="21" spans="1:3" x14ac:dyDescent="0.25">
      <c r="A21" t="s">
        <v>21</v>
      </c>
      <c r="B21" s="6">
        <v>0.06998</v>
      </c>
      <c r="C21" s="8" t="s">
        <v>22</v>
      </c>
    </row>
    <row r="22" spans="1:2" x14ac:dyDescent="0.25">
      <c r="A22" t="s">
        <v>23</v>
      </c>
      <c r="B22" s="11">
        <v>32084187136</v>
      </c>
    </row>
    <row r="23" spans="1:2" x14ac:dyDescent="0.25">
      <c r="A23" t="s">
        <v>24</v>
      </c>
      <c r="B23" s="11">
        <v>18460000000</v>
      </c>
    </row>
    <row r="24" spans="1:2" x14ac:dyDescent="0.25">
      <c r="A24" t="s">
        <v>25</v>
      </c>
      <c r="B24" s="10">
        <f>B22/(B22+B23)</f>
        <v>0.6347750147741144</v>
      </c>
    </row>
    <row r="25" spans="1:2" x14ac:dyDescent="0.25">
      <c r="A25" t="s">
        <v>26</v>
      </c>
      <c r="B25" s="10">
        <f>1-B24</f>
        <v>0.36522498522588565</v>
      </c>
    </row>
    <row r="26" spans="1:2" x14ac:dyDescent="0.25">
      <c r="A26" t="s">
        <v>27</v>
      </c>
      <c r="B26" s="12">
        <f>B24*B20+B25*B21*(1-B8)</f>
        <v>0.0862472926794218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8131000000</v>
      </c>
      <c r="C29" s="8" t="s">
        <v>30</v>
      </c>
    </row>
    <row r="30" spans="1:2" x14ac:dyDescent="0.25">
      <c r="A30" t="s">
        <v>31</v>
      </c>
      <c r="B30" s="11">
        <v>4382000000</v>
      </c>
    </row>
    <row r="31" spans="1:2" x14ac:dyDescent="0.25">
      <c r="A31" t="s">
        <v>32</v>
      </c>
      <c r="B31" s="13">
        <v>1505000000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0.038776548989612136</v>
      </c>
      <c r="C5" s="10">
        <f>Assumptions!B6</f>
        <v>0.038776548989612136</v>
      </c>
      <c r="D5" s="10">
        <f>Assumptions!B6</f>
        <v>0.038776548989612136</v>
      </c>
      <c r="E5" s="10">
        <f>Assumptions!B6</f>
        <v>0.038776548989612136</v>
      </c>
      <c r="F5" s="10">
        <f>Assumptions!B6</f>
        <v>0.038776548989612136</v>
      </c>
    </row>
    <row r="6" spans="1:6" x14ac:dyDescent="0.25">
      <c r="A6" t="s">
        <v>43</v>
      </c>
      <c r="B6" s="18">
        <f>Assumptions!B29*(1+B5)</f>
        <v>8446292119.834537</v>
      </c>
      <c r="C6" s="18">
        <f>B6*(1+C5)</f>
        <v>8773810179.999876</v>
      </c>
      <c r="D6" s="18">
        <f>C6*(1+D5)</f>
        <v>9114028260.270199</v>
      </c>
      <c r="E6" s="18">
        <f>D6*(1+E5)</f>
        <v>9467438823.597275</v>
      </c>
      <c r="F6" s="18">
        <f>E6*(1+F5)</f>
        <v>9834553428.94665</v>
      </c>
    </row>
    <row r="7" spans="1:6" x14ac:dyDescent="0.25">
      <c r="A7" t="s">
        <v>5</v>
      </c>
      <c r="B7" s="10">
        <f>Assumptions!B7</f>
        <v>0.3403182535066757</v>
      </c>
      <c r="C7" s="10">
        <f>Assumptions!B7</f>
        <v>0.3403182535066757</v>
      </c>
      <c r="D7" s="10">
        <f>Assumptions!B7</f>
        <v>0.3403182535066757</v>
      </c>
      <c r="E7" s="10">
        <f>Assumptions!B7</f>
        <v>0.3403182535066757</v>
      </c>
      <c r="F7" s="10">
        <f>Assumptions!B7</f>
        <v>0.3403182535066757</v>
      </c>
    </row>
    <row r="8" spans="1:6" x14ac:dyDescent="0.25">
      <c r="A8" t="s">
        <v>44</v>
      </c>
      <c r="B8" s="18">
        <f>B6*B7</f>
        <v>2874427382.829287</v>
      </c>
      <c r="C8" s="18">
        <f>C6*C7</f>
        <v>2985887757.0566497</v>
      </c>
      <c r="D8" s="18">
        <f>D6*D7</f>
        <v>3101670179.94564</v>
      </c>
      <c r="E8" s="18">
        <f>E6*E7</f>
        <v>3221942245.627921</v>
      </c>
      <c r="F8" s="18">
        <f>F6*F7</f>
        <v>3346878046.957213</v>
      </c>
    </row>
    <row r="9" spans="1:6" x14ac:dyDescent="0.25">
      <c r="A9" t="s">
        <v>45</v>
      </c>
      <c r="B9" s="18">
        <f>B8*(1-Assumptions!B8)</f>
        <v>2360492490.070592</v>
      </c>
      <c r="C9" s="18">
        <f>C8*(1-Assumptions!B8)</f>
        <v>2452024242.751426</v>
      </c>
      <c r="D9" s="18">
        <f>D8*(1-Assumptions!B8)</f>
        <v>2547105280.9241934</v>
      </c>
      <c r="E9" s="18">
        <f>E8*(1-Assumptions!B8)</f>
        <v>2645873233.63165</v>
      </c>
      <c r="F9" s="18">
        <f>F8*(1-Assumptions!B8)</f>
        <v>2748471066.695871</v>
      </c>
    </row>
    <row r="10" spans="1:6" x14ac:dyDescent="0.25">
      <c r="A10" t="s">
        <v>46</v>
      </c>
      <c r="B10" s="18">
        <f>B6*Assumptions!B9</f>
        <v>745759554.886533</v>
      </c>
      <c r="C10" s="18">
        <f>C6*Assumptions!B9</f>
        <v>774677536.8010621</v>
      </c>
      <c r="D10" s="18">
        <f>D6*Assumptions!B9</f>
        <v>804716858.2579806</v>
      </c>
      <c r="E10" s="18">
        <f>E6*Assumptions!B9</f>
        <v>835921000.9349878</v>
      </c>
      <c r="F10" s="18">
        <f>F6*Assumptions!B9</f>
        <v>868335132.579189</v>
      </c>
    </row>
    <row r="11" spans="1:6" x14ac:dyDescent="0.25">
      <c r="A11" t="s">
        <v>47</v>
      </c>
      <c r="B11" s="18">
        <f>-B6*Assumptions!B10</f>
        <v>-745759554.886533</v>
      </c>
      <c r="C11" s="18">
        <f>-C6*Assumptions!B10</f>
        <v>-774677536.8010621</v>
      </c>
      <c r="D11" s="18">
        <f>-D6*Assumptions!B10</f>
        <v>-804716858.2579806</v>
      </c>
      <c r="E11" s="18">
        <f>-E6*Assumptions!B10</f>
        <v>-835921000.9349878</v>
      </c>
      <c r="F11" s="18">
        <f>-F6*Assumptions!B10</f>
        <v>-868335132.579189</v>
      </c>
    </row>
    <row r="12" spans="1:6" x14ac:dyDescent="0.25">
      <c r="A12" t="s">
        <v>48</v>
      </c>
      <c r="B12" s="18">
        <f>-(B6-Assumptions!B29)*Assumptions!B11</f>
        <v>-315292119.83453655</v>
      </c>
      <c r="C12" s="18">
        <f>-(C6-B6)*Assumptions!B11</f>
        <v>-327518060.16533947</v>
      </c>
      <c r="D12" s="18">
        <f>-(D6-C6)*Assumptions!B11</f>
        <v>-340218080.2703228</v>
      </c>
      <c r="E12" s="18">
        <f>-(E6-D6)*Assumptions!B11</f>
        <v>-353410563.32707596</v>
      </c>
      <c r="F12" s="18">
        <f>-(F6-E6)*Assumptions!B11</f>
        <v>-367114605.3493748</v>
      </c>
    </row>
    <row r="13" spans="1:6" x14ac:dyDescent="0.25">
      <c r="A13" s="19" t="s">
        <v>49</v>
      </c>
      <c r="B13" s="20">
        <f>B9+B10+B11+B12</f>
        <v>2045200370.2360554</v>
      </c>
      <c r="C13" s="20">
        <f>C9+C10+C11+C12</f>
        <v>2124506182.5860868</v>
      </c>
      <c r="D13" s="20">
        <f>D9+D10+D11+D12</f>
        <v>2206887200.6538706</v>
      </c>
      <c r="E13" s="20">
        <f>E9+E10+E11+E12</f>
        <v>2292462670.304574</v>
      </c>
      <c r="F13" s="20">
        <f>F9+F10+F11+F12</f>
        <v>2381356461.346496</v>
      </c>
    </row>
    <row r="14" spans="1:6" x14ac:dyDescent="0.25">
      <c r="A14" t="s">
        <v>50</v>
      </c>
      <c r="B14" s="21">
        <f>1/(1+Assumptions!$B$26)^(1-0.5*Assumptions!$B$32)</f>
        <v>0.9594793814441773</v>
      </c>
      <c r="C14" s="21">
        <f>1/(1+Assumptions!$B$26)^(2-0.5*Assumptions!$B$32)</f>
        <v>0.8832973742815516</v>
      </c>
      <c r="D14" s="21">
        <f>1/(1+Assumptions!$B$26)^(3-0.5*Assumptions!$B$32)</f>
        <v>0.8131641664235976</v>
      </c>
      <c r="E14" s="21">
        <f>1/(1+Assumptions!$B$26)^(4-0.5*Assumptions!$B$32)</f>
        <v>0.7485994873393736</v>
      </c>
      <c r="F14" s="21">
        <f>1/(1+Assumptions!$B$26)^(5-0.5*Assumptions!$B$32)</f>
        <v>0.6891611996498698</v>
      </c>
    </row>
    <row r="15" spans="1:6" x14ac:dyDescent="0.25">
      <c r="A15" s="19" t="s">
        <v>51</v>
      </c>
      <c r="B15" s="20">
        <f>B13*B14</f>
        <v>1962327586.163493</v>
      </c>
      <c r="C15" s="20">
        <f>C13*C14</f>
        <v>1876570732.7232132</v>
      </c>
      <c r="D15" s="20">
        <f>D13*D14</f>
        <v>1794561590.9106114</v>
      </c>
      <c r="E15" s="20">
        <f>E13*E14</f>
        <v>1716136379.7346556</v>
      </c>
      <c r="F15" s="20">
        <f>F13*F14</f>
        <v>1641138475.69552</v>
      </c>
    </row>
    <row r="17" spans="1:2" x14ac:dyDescent="0.25">
      <c r="A17" s="22" t="s">
        <v>52</v>
      </c>
      <c r="B17" s="23">
        <f>SUM(B15:F15)</f>
        <v>8990734765.227493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2381356461.346496</v>
      </c>
    </row>
    <row r="5" spans="1:2" x14ac:dyDescent="0.25">
      <c r="A5" t="s">
        <v>56</v>
      </c>
      <c r="B5" s="18">
        <f>IF(Assumptions!$B$33=0,B4,B4-Forecast!F11-Forecast!F10-Forecast!F12)</f>
        <v>2748471066.695871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0.28986417107519113</v>
      </c>
    </row>
    <row r="7" spans="1:2" x14ac:dyDescent="0.25">
      <c r="A7" t="s">
        <v>58</v>
      </c>
      <c r="B7" s="18">
        <f>-MAX(Forecast!F9,0)*B6</f>
        <v>-796683287.4719449</v>
      </c>
    </row>
    <row r="8" spans="1:2" x14ac:dyDescent="0.25">
      <c r="A8" t="s">
        <v>59</v>
      </c>
      <c r="B8" s="18">
        <f>IF(OR(Assumptions!$B$33=0,Assumptions!B12&lt;=0),B5,MAX(B5+B7,0))</f>
        <v>1951787779.223926</v>
      </c>
    </row>
    <row r="9" spans="1:2" x14ac:dyDescent="0.25">
      <c r="A9" t="s">
        <v>60</v>
      </c>
      <c r="B9" s="18">
        <f>B8*(1+Assumptions!B12)/(Assumptions!B26-Assumptions!B12)</f>
        <v>32664014786.349743</v>
      </c>
    </row>
    <row r="10" spans="1:2" x14ac:dyDescent="0.25">
      <c r="A10" t="s">
        <v>61</v>
      </c>
      <c r="B10" s="18">
        <f>B9/(1+Assumptions!B26)^(5-0.5*Assumptions!B32)</f>
        <v>22510771615.541874</v>
      </c>
    </row>
    <row r="11" spans="1:2" x14ac:dyDescent="0.25">
      <c r="A11" t="s">
        <v>62</v>
      </c>
      <c r="B11" s="18">
        <f>Forecast!B17+B10</f>
        <v>31501506380.769367</v>
      </c>
    </row>
    <row r="12" spans="1:2" x14ac:dyDescent="0.25">
      <c r="A12" t="s">
        <v>63</v>
      </c>
      <c r="B12" s="18">
        <f>-Assumptions!B30</f>
        <v>-4382000000</v>
      </c>
    </row>
    <row r="13" spans="1:2" x14ac:dyDescent="0.25">
      <c r="A13" t="s">
        <v>64</v>
      </c>
      <c r="B13" s="18">
        <f>B11+B12</f>
        <v>27119506380.769367</v>
      </c>
    </row>
    <row r="14" spans="1:2" x14ac:dyDescent="0.25">
      <c r="A14" s="19" t="s">
        <v>65</v>
      </c>
      <c r="B14" s="24">
        <f>B13/Assumptions!B31</f>
        <v>18.01960556861752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4215213179.5364017</v>
      </c>
    </row>
    <row r="18" spans="1:2" x14ac:dyDescent="0.25">
      <c r="A18" t="s">
        <v>60</v>
      </c>
      <c r="B18" s="18">
        <f>B17*Assumptions!B13</f>
        <v>44554421050.17622</v>
      </c>
    </row>
    <row r="19" spans="1:2" x14ac:dyDescent="0.25">
      <c r="A19" t="s">
        <v>61</v>
      </c>
      <c r="B19" s="18">
        <f>B18/(1+Assumptions!B26)^(5-0.5*Assumptions!B32)</f>
        <v>30705178260.644855</v>
      </c>
    </row>
    <row r="20" spans="1:2" x14ac:dyDescent="0.25">
      <c r="A20" t="s">
        <v>62</v>
      </c>
      <c r="B20" s="18">
        <f>Forecast!B17+B19</f>
        <v>39695913025.872345</v>
      </c>
    </row>
    <row r="21" spans="1:2" x14ac:dyDescent="0.25">
      <c r="A21" t="s">
        <v>63</v>
      </c>
      <c r="B21" s="18">
        <f>-Assumptions!B30</f>
        <v>-4382000000</v>
      </c>
    </row>
    <row r="22" spans="1:2" x14ac:dyDescent="0.25">
      <c r="A22" t="s">
        <v>64</v>
      </c>
      <c r="B22" s="18">
        <f>B20+B21</f>
        <v>35313913025.872345</v>
      </c>
    </row>
    <row r="23" spans="1:2" x14ac:dyDescent="0.25">
      <c r="A23" s="19" t="s">
        <v>65</v>
      </c>
      <c r="B23" s="25">
        <f>B22/Assumptions!B31</f>
        <v>23.46439403712448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15.88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18.01960556861752</v>
      </c>
    </row>
    <row r="29" spans="1:2" x14ac:dyDescent="0.25">
      <c r="A29" s="19" t="s">
        <v>73</v>
      </c>
      <c r="B29" s="12">
        <f>B28/B26-1</f>
        <v>0.1347358670414056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0.066247</v>
      </c>
      <c r="B5" s="31">
        <v>24.30312723508828</v>
      </c>
      <c r="C5" s="31">
        <v>24.40640296136575</v>
      </c>
      <c r="D5" s="31">
        <v>24.509678687643216</v>
      </c>
      <c r="E5" s="31">
        <v>24.612954413920683</v>
      </c>
      <c r="F5" s="31">
        <v>24.71623014019815</v>
      </c>
    </row>
    <row r="6" spans="1:6" x14ac:dyDescent="0.25">
      <c r="A6" s="30">
        <v>0.076247</v>
      </c>
      <c r="B6" s="31">
        <v>20.66352472587226</v>
      </c>
      <c r="C6" s="31">
        <v>20.749564273977327</v>
      </c>
      <c r="D6" s="31">
        <v>20.835603822082376</v>
      </c>
      <c r="E6" s="31">
        <v>20.92164337018744</v>
      </c>
      <c r="F6" s="31">
        <v>21.007682918292495</v>
      </c>
    </row>
    <row r="7" spans="1:6" x14ac:dyDescent="0.25">
      <c r="A7" s="30">
        <v>0.086247</v>
      </c>
      <c r="B7" s="31">
        <v>17.873752564422652</v>
      </c>
      <c r="C7" s="31">
        <v>17.946715453329446</v>
      </c>
      <c r="D7" s="32">
        <v>18.01967834223623</v>
      </c>
      <c r="E7" s="31">
        <v>18.09264123114302</v>
      </c>
      <c r="F7" s="31">
        <v>18.165604120049807</v>
      </c>
    </row>
    <row r="8" spans="1:6" x14ac:dyDescent="0.25">
      <c r="A8" s="30">
        <v>0.096247</v>
      </c>
      <c r="B8" s="31">
        <v>15.668618865935747</v>
      </c>
      <c r="C8" s="31">
        <v>15.731359599463403</v>
      </c>
      <c r="D8" s="31">
        <v>15.794100332991048</v>
      </c>
      <c r="E8" s="31">
        <v>15.856841066518705</v>
      </c>
      <c r="F8" s="31">
        <v>15.919581800046354</v>
      </c>
    </row>
    <row r="9" spans="1:6" x14ac:dyDescent="0.25">
      <c r="A9" s="30">
        <v>0.106247</v>
      </c>
      <c r="B9" s="31">
        <v>13.882789266729086</v>
      </c>
      <c r="C9" s="31">
        <v>13.937349161115458</v>
      </c>
      <c r="D9" s="31">
        <v>13.99190905550183</v>
      </c>
      <c r="E9" s="31">
        <v>14.046468949888203</v>
      </c>
      <c r="F9" s="31">
        <v>14.101028844274573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8131000000</v>
      </c>
      <c r="C5" s="18">
        <v>7377000000</v>
      </c>
      <c r="D5" s="18">
        <v>7360000000</v>
      </c>
      <c r="E5" s="18">
        <v>7254000000</v>
      </c>
      <c r="F5" s="8" t="s">
        <v>84</v>
      </c>
    </row>
    <row r="6" spans="1:6" x14ac:dyDescent="0.25">
      <c r="A6" t="s">
        <v>44</v>
      </c>
      <c r="B6" s="18">
        <v>2688000000</v>
      </c>
      <c r="C6" s="18">
        <v>2403000000</v>
      </c>
      <c r="D6" s="18">
        <v>2384000000</v>
      </c>
      <c r="E6" s="18">
        <v>2764000000</v>
      </c>
      <c r="F6" s="8" t="s">
        <v>85</v>
      </c>
    </row>
    <row r="7" spans="1:6" x14ac:dyDescent="0.25">
      <c r="A7" t="s">
        <v>86</v>
      </c>
      <c r="B7" s="18">
        <v>762000000</v>
      </c>
      <c r="C7" s="18">
        <v>622000000</v>
      </c>
      <c r="D7" s="18">
        <v>798000000</v>
      </c>
      <c r="E7" s="18">
        <v>484000000</v>
      </c>
      <c r="F7" s="8" t="s">
        <v>87</v>
      </c>
    </row>
    <row r="8" spans="1:6" x14ac:dyDescent="0.25">
      <c r="A8" t="s">
        <v>88</v>
      </c>
      <c r="B8" s="18">
        <v>267000000</v>
      </c>
      <c r="C8" s="18">
        <v>143000000</v>
      </c>
      <c r="D8" s="18">
        <v>140000000</v>
      </c>
      <c r="E8" s="18">
        <v>214000000</v>
      </c>
      <c r="F8" s="8" t="s">
        <v>89</v>
      </c>
    </row>
    <row r="9" spans="1:6" x14ac:dyDescent="0.25">
      <c r="A9" t="s">
        <v>90</v>
      </c>
      <c r="B9" s="18">
        <v>658000000</v>
      </c>
      <c r="C9" s="18">
        <v>1239000000</v>
      </c>
      <c r="D9" s="18">
        <v>339000000</v>
      </c>
      <c r="E9" s="18">
        <v>-570000000</v>
      </c>
      <c r="F9" s="8" t="s">
        <v>91</v>
      </c>
    </row>
    <row r="10" spans="1:6" x14ac:dyDescent="0.25">
      <c r="A10" t="s">
        <v>92</v>
      </c>
      <c r="B10" s="18">
        <v>18460000000</v>
      </c>
      <c r="C10" s="18">
        <v>16431000000</v>
      </c>
      <c r="D10" s="18">
        <v>12396000000</v>
      </c>
      <c r="E10" s="18">
        <v>11460000000</v>
      </c>
      <c r="F10" s="8" t="s">
        <v>93</v>
      </c>
    </row>
    <row r="11" spans="1:6" x14ac:dyDescent="0.25">
      <c r="A11" t="s">
        <v>94</v>
      </c>
      <c r="B11" s="18">
        <v>14078000000</v>
      </c>
      <c r="C11" s="18">
        <v>13332000000</v>
      </c>
      <c r="D11" s="18">
        <v>10323000000</v>
      </c>
      <c r="E11" s="18">
        <v>6918000000</v>
      </c>
      <c r="F11" s="8" t="s">
        <v>95</v>
      </c>
    </row>
    <row r="12" spans="1:6" x14ac:dyDescent="0.25">
      <c r="A12" t="s">
        <v>32</v>
      </c>
      <c r="B12" s="34">
        <v>1505000000</v>
      </c>
      <c r="C12" s="34">
        <v>1476442000</v>
      </c>
      <c r="D12" s="34">
        <v>1468016000</v>
      </c>
      <c r="E12" s="34">
        <v>1465000000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70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2026-09-19T00:07:53Z</dcterms:modified>
</cp:coreProperties>
</file>