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<sst xmlns="http://schemas.openxmlformats.org/spreadsheetml/2006/main" count="120" uniqueCount="107">
  <si>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HCA Healthcare, Inc. (HCA)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</si>
  <si>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</si>
  <si>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</si>
  <si>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</si>
  <si>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</si>
  <si>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</si>
  <si>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</si>
  <si>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</si>
  <si>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</si>
  <si>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</si>
  <si>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</si>
  <si>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</si>
  <si>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</si>
  <si>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</si>
  <si>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</si>
  <si>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</si>
  <si>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</si>
  <si>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</si>
  <si>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</si>
  <si>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</si>
  <si>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</si>
  <si>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</si>
  <si>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</si>
  <si>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</si>
  <si>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5.3x interest cover. Book interest / average debt was lower, at 4.8%.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</si>
  <si>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</si>
  <si>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</si>
  <si>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</si>
  <si>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</si>
  <si>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</si>
  <si>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</si>
  <si>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</si>
  <si>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</si>
  <si>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</si>
  <si>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</si>
  <si>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</si>
  <si>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</si>
  <si>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</si>
  <si>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</si>
  <si>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</si>
  <si>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</si>
  <si>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</si>
  <si>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</si>
  <si>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</si>
  <si>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</si>
  <si>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</si>
  <si>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</si>
  <si>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</si>
  <si>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</si>
  <si>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</si>
  <si>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</si>
  <si>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</si>
  <si>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</si>
  <si>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</si>
  <si>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</si>
  <si>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</si>
  <si>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</si>
  <si>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</si>
  <si>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</si>
  <si>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</si>
  <si>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</si>
  <si>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</si>
  <si>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</si>
  <si>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</si>
  <si>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</si>
  <si>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</si>
  <si>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</si>
  <si>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</si>
  <si>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</si>
  <si>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</si>
  <si>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</si>
  <si>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</si>
  <si>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</si>
  <si>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</si>
  <si>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</si>
  <si>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</si>
  <si>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</si>
  <si>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</si>
  <si>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</si>
  <si>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</si>
  <si>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</si>
  <si>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</si>
  <si>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</si>
  <si>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</si>
  <si>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</si>
  <si>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</si>
  <si>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</si>
  <si>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</si>
  <si>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</si>
  <si>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</si>
  <si>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</si>
  <si>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</si>
  <si>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</si>
  <si>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</si>
  <si>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</si>
  <si>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</si>
  <si>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</si>
  <si>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</si>
  <si>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</si>
  <si>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</si>
  <si>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</si>
  <si>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</si>
  <si>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</si>
  <si>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</si>
  <si>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</si>
  <si>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7.0% of revenue against depreciation of 4.8%.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</si>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</sst>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0.04664968095238087</v>
      </c>
    </row>
    <row r="7" spans="1:2" x14ac:dyDescent="0.25">
      <c r="A7" t="s">
        <v>4</v>
      </c>
      <c r="B7" s="5">
        <v>0.1515330238046773</v>
      </c>
    </row>
    <row r="8" spans="1:2" x14ac:dyDescent="0.25">
      <c r="A8" t="s">
        <v>5</v>
      </c>
      <c r="B8" s="5">
        <v>0.2090399004336967</v>
      </c>
    </row>
    <row r="9" spans="1:2" x14ac:dyDescent="0.25">
      <c r="A9" t="s">
        <v>6</v>
      </c>
      <c r="B9" s="5">
        <v>0.04754110288759348</v>
      </c>
    </row>
    <row r="10" spans="1:3" x14ac:dyDescent="0.25">
      <c r="A10" t="s">
        <v>7</v>
      </c>
      <c r="B10" s="5">
        <v>0.07010802325134752</v>
      </c>
      <c r="C10" s="6" t="s">
        <v>8</v>
      </c>
    </row>
    <row r="11" spans="1:2" x14ac:dyDescent="0.25">
      <c r="A11" t="s">
        <v>9</v>
      </c>
      <c r="B11" s="5">
        <v>0.11394662541548028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9.459119541322314</v>
      </c>
    </row>
    <row r="14" spans="1:3" x14ac:dyDescent="0.25">
      <c r="A14" t="s">
        <v>12</v>
      </c>
      <c r="B14" s="5">
        <v>0.20428507244444172</v>
      </c>
      <c r="C14" s="6" t="s">
        <v>13</v>
      </c>
    </row>
    <row r="15" spans="1:3" x14ac:dyDescent="0.25">
      <c r="A15" t="s">
        <v>14</v>
      </c>
      <c r="B15" s="5">
        <v>0.04754110288759348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1.0737</v>
      </c>
      <c r="C19" s="6" t="s">
        <v>21</v>
      </c>
    </row>
    <row r="20" spans="1:2" x14ac:dyDescent="0.25">
      <c r="A20" t="s">
        <v>22</v>
      </c>
      <c r="B20" s="9">
        <f>B17+B19*B18</f>
        <v>0.09435751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98845843456</v>
      </c>
    </row>
    <row r="23" spans="1:2" x14ac:dyDescent="0.25">
      <c r="A23" t="s">
        <v>26</v>
      </c>
      <c r="B23" s="10">
        <v>48697000000</v>
      </c>
    </row>
    <row r="24" spans="1:2" x14ac:dyDescent="0.25">
      <c r="A24" t="s">
        <v>27</v>
      </c>
      <c r="B24" s="9">
        <f>B22/(B22+B23)</f>
        <v>0.669946716090487</v>
      </c>
    </row>
    <row r="25" spans="1:2" x14ac:dyDescent="0.25">
      <c r="A25" t="s">
        <v>28</v>
      </c>
      <c r="B25" s="9">
        <f>1-B24</f>
        <v>0.33005328390951305</v>
      </c>
    </row>
    <row r="26" spans="1:2" x14ac:dyDescent="0.25">
      <c r="A26" t="s">
        <v>29</v>
      </c>
      <c r="B26" s="11">
        <f>B24*B20+B25*B21*(1-B8)</f>
        <v>0.07802699039190192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75600000000</v>
      </c>
      <c r="C29" s="6" t="s">
        <v>32</v>
      </c>
    </row>
    <row r="30" spans="1:2" x14ac:dyDescent="0.25">
      <c r="A30" t="s">
        <v>33</v>
      </c>
      <c r="B30" s="10">
        <v>47657000000</v>
      </c>
    </row>
    <row r="31" spans="1:2" x14ac:dyDescent="0.25">
      <c r="A31" t="s">
        <v>34</v>
      </c>
      <c r="B31" s="12">
        <v>239495000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0.04664968095238087</v>
      </c>
      <c r="C5" s="5">
        <v>0.03161502397993865</v>
      </c>
      <c r="D5" s="5">
        <v>0.030788145982446318</v>
      </c>
      <c r="E5" s="5">
        <v>0.029961267984953986</v>
      </c>
      <c r="F5" s="5">
        <v>0.029134389987461658</v>
      </c>
      <c r="G5" s="5">
        <v>0.028307511989969326</v>
      </c>
      <c r="H5" s="5">
        <v>0.027480633992476994</v>
      </c>
      <c r="I5" s="5">
        <v>0.026653755994984665</v>
      </c>
      <c r="J5" s="5">
        <v>0.025826877997492333</v>
      </c>
      <c r="K5" s="5">
        <v>0.025</v>
      </c>
    </row>
    <row r="6" spans="1:11" x14ac:dyDescent="0.25">
      <c r="A6" t="s">
        <v>50</v>
      </c>
      <c r="B6" s="18">
        <f>Assumptions!B29*(1+B5)</f>
        <v>79126715880</v>
      </c>
      <c r="C6" s="18">
        <f>B6*(1+C5)</f>
        <v>81628308900</v>
      </c>
      <c r="D6" s="18">
        <f>C6*(1+D5)</f>
        <v>84141493190.71342</v>
      </c>
      <c r="E6" s="18">
        <f>D6*(1+E5)</f>
        <v>86662479016.85457</v>
      </c>
      <c r="F6" s="18">
        <f>E6*(1+F5)</f>
        <v>89187337477.81183</v>
      </c>
      <c r="G6" s="18">
        <f>F6*(1+G5)</f>
        <v>91712009102.81844</v>
      </c>
      <c r="H6" s="18">
        <f>G6*(1+H5)</f>
        <v>94232313257.6877</v>
      </c>
      <c r="I6" s="18">
        <f>H6*(1+I5)</f>
        <v>96743958342.10106</v>
      </c>
      <c r="J6" s="18">
        <f>I6*(1+J5)</f>
        <v>99242552751.19699</v>
      </c>
      <c r="K6" s="18">
        <f>J6*(1+K5)</f>
        <v>101723616569.97691</v>
      </c>
    </row>
    <row r="7" spans="1:11" x14ac:dyDescent="0.25">
      <c r="A7" t="s">
        <v>4</v>
      </c>
      <c r="B7" s="9">
        <f>Assumptions!B7</f>
        <v>0.1515330238046773</v>
      </c>
      <c r="C7" s="9">
        <f>Assumptions!B7</f>
        <v>0.1515330238046773</v>
      </c>
      <c r="D7" s="9">
        <f>Assumptions!B7</f>
        <v>0.1515330238046773</v>
      </c>
      <c r="E7" s="9">
        <f>Assumptions!B7</f>
        <v>0.1515330238046773</v>
      </c>
      <c r="F7" s="9">
        <f>Assumptions!B7</f>
        <v>0.1515330238046773</v>
      </c>
      <c r="G7" s="9">
        <f>Assumptions!B7</f>
        <v>0.1515330238046773</v>
      </c>
      <c r="H7" s="9">
        <f>Assumptions!B7</f>
        <v>0.1515330238046773</v>
      </c>
      <c r="I7" s="9">
        <f>Assumptions!B7</f>
        <v>0.1515330238046773</v>
      </c>
      <c r="J7" s="9">
        <f>Assumptions!B7</f>
        <v>0.1515330238046773</v>
      </c>
      <c r="K7" s="9">
        <f>Assumptions!B7</f>
        <v>0.1515330238046773</v>
      </c>
    </row>
    <row r="8" spans="1:11" x14ac:dyDescent="0.25">
      <c r="A8" t="s">
        <v>51</v>
      </c>
      <c r="B8" s="18">
        <f>B6*B7</f>
        <v>11990310521.029978</v>
      </c>
      <c r="C8" s="18">
        <f>C6*C7</f>
        <v>12369384475.679253</v>
      </c>
      <c r="D8" s="18">
        <f>D6*D7</f>
        <v>12750214890.62947</v>
      </c>
      <c r="E8" s="18">
        <f>E6*E7</f>
        <v>13132227495.833372</v>
      </c>
      <c r="F8" s="18">
        <f>F6*F7</f>
        <v>13514826933.10105</v>
      </c>
      <c r="G8" s="18">
        <f>G6*G7</f>
        <v>13897398058.552168</v>
      </c>
      <c r="H8" s="18">
        <f>H6*H7</f>
        <v>14279307368.046999</v>
      </c>
      <c r="I8" s="18">
        <f>I6*I7</f>
        <v>14659904542.41231</v>
      </c>
      <c r="J8" s="18">
        <f>J6*J7</f>
        <v>15038524108.484077</v>
      </c>
      <c r="K8" s="18">
        <f>K6*K7</f>
        <v>15414487211.196178</v>
      </c>
    </row>
    <row r="9" spans="1:11" x14ac:dyDescent="0.25">
      <c r="A9" t="s">
        <v>52</v>
      </c>
      <c r="B9" s="18">
        <f>B8*(1-Assumptions!B8)</f>
        <v>9483857203.544765</v>
      </c>
      <c r="C9" s="18">
        <f>C8*(1-Assumptions!B8)</f>
        <v>9783689576.457148</v>
      </c>
      <c r="D9" s="18">
        <f>D8*(1-Assumptions!B8)</f>
        <v>10084911239.384048</v>
      </c>
      <c r="E9" s="18">
        <f>E8*(1-Assumptions!B8)</f>
        <v>10387067967.63171</v>
      </c>
      <c r="F9" s="18">
        <f>F8*(1-Assumptions!B8)</f>
        <v>10689688856.626965</v>
      </c>
      <c r="G9" s="18">
        <f>G8*(1-Assumptions!B8)</f>
        <v>10992287352.104973</v>
      </c>
      <c r="H9" s="18">
        <f>H8*(1-Assumptions!B8)</f>
        <v>11294362377.568302</v>
      </c>
      <c r="I9" s="18">
        <f>I8*(1-Assumptions!B8)</f>
        <v>11595399556.498943</v>
      </c>
      <c r="J9" s="18">
        <f>J8*(1-Assumptions!B8)</f>
        <v>11894872526.176819</v>
      </c>
      <c r="K9" s="18">
        <f>K8*(1-Assumptions!B8)</f>
        <v>12192244339.331238</v>
      </c>
    </row>
    <row r="10" spans="1:11" x14ac:dyDescent="0.25">
      <c r="A10" t="s">
        <v>53</v>
      </c>
      <c r="B10" s="18">
        <f>B6*Assumptions!B9</f>
        <v>3761771340.808457</v>
      </c>
      <c r="C10" s="18">
        <f>C6*Assumptions!B9</f>
        <v>3880699831.9551625</v>
      </c>
      <c r="D10" s="18">
        <f>D6*Assumptions!B9</f>
        <v>4000179384.895453</v>
      </c>
      <c r="E10" s="18">
        <f>E6*Assumptions!B9</f>
        <v>4120029831.434194</v>
      </c>
      <c r="F10" s="18">
        <f>F6*Assumptions!B9</f>
        <v>4240064387.303174</v>
      </c>
      <c r="G10" s="18">
        <f>G6*Assumptions!B9</f>
        <v>4360090060.785001</v>
      </c>
      <c r="H10" s="18">
        <f>H6*Assumptions!B9</f>
        <v>4479908099.91967</v>
      </c>
      <c r="I10" s="18">
        <f>I6*Assumptions!B9</f>
        <v>4599314477.294884</v>
      </c>
      <c r="J10" s="18">
        <f>J6*Assumptions!B9</f>
        <v>4718100411.172079</v>
      </c>
      <c r="K10" s="18">
        <f>K6*Assumptions!B9</f>
        <v>4836052921.451382</v>
      </c>
    </row>
    <row r="11" spans="1:11" x14ac:dyDescent="0.25">
      <c r="A11" t="s">
        <v>54</v>
      </c>
      <c r="B11" s="18">
        <f>-B6*B19</f>
        <v>-5547417636.717809</v>
      </c>
      <c r="C11" s="18">
        <f>-C6*C19</f>
        <v>-5651155920.981953</v>
      </c>
      <c r="D11" s="18">
        <f>-D6*D19</f>
        <v>-5751295307.875786</v>
      </c>
      <c r="E11" s="18">
        <f>-E6*E19</f>
        <v>-5847549564.816963</v>
      </c>
      <c r="F11" s="18">
        <f>-F6*F19</f>
        <v>-5939636495.8724</v>
      </c>
      <c r="G11" s="18">
        <f>-G6*G19</f>
        <v>-6027279117.342162</v>
      </c>
      <c r="H11" s="18">
        <f>-H6*H19</f>
        <v>-6110206840.703963</v>
      </c>
      <c r="I11" s="18">
        <f>-I6*I19</f>
        <v>-6188156656.588233</v>
      </c>
      <c r="J11" s="18">
        <f>-J6*J19</f>
        <v>-6260874313.2706375</v>
      </c>
      <c r="K11" s="18">
        <f>-K6*K19</f>
        <v>-6328115483.027815</v>
      </c>
    </row>
    <row r="12" spans="1:11" x14ac:dyDescent="0.25">
      <c r="A12" t="s">
        <v>55</v>
      </c>
      <c r="B12" s="18">
        <f>-(B6-Assumptions!B29)*Assumptions!B11</f>
        <v>-401857373.3251859</v>
      </c>
      <c r="C12" s="18">
        <f>-(C6-B6)*Assumptions!B11</f>
        <v>-285048082.79192007</v>
      </c>
      <c r="D12" s="18">
        <f>-(D6-C6)*Assumptions!B11</f>
        <v>-286368868.9739921</v>
      </c>
      <c r="E12" s="18">
        <f>-(E6-D6)*Assumptions!B11</f>
        <v>-287257827.60904</v>
      </c>
      <c r="F12" s="18">
        <f>-(F6-E6)*Assumptions!B11</f>
        <v>-287699101.27780294</v>
      </c>
      <c r="G12" s="18">
        <f>-(G6-F6)*Assumptions!B11</f>
        <v>-287677811.95171976</v>
      </c>
      <c r="H12" s="18">
        <f>-(H6-G6)*Assumptions!B11</f>
        <v>-287180153.4679665</v>
      </c>
      <c r="I12" s="18">
        <f>-(I6-H6)*Assumptions!B11</f>
        <v>-286193481.6102816</v>
      </c>
      <c r="J12" s="18">
        <f>-(J6-I6)*Assumptions!B11</f>
        <v>-284706401.1984675</v>
      </c>
      <c r="K12" s="18">
        <f>-(K6-J6)*Assumptions!B11</f>
        <v>-282708849.5904169</v>
      </c>
    </row>
    <row r="13" spans="1:11" x14ac:dyDescent="0.25">
      <c r="A13" s="19" t="s">
        <v>56</v>
      </c>
      <c r="B13" s="20">
        <f>B9+B10+B11+B12</f>
        <v>7296353534.310227</v>
      </c>
      <c r="C13" s="20">
        <f>C9+C10+C11+C12</f>
        <v>7728185404.638437</v>
      </c>
      <c r="D13" s="20">
        <f>D9+D10+D11+D12</f>
        <v>8047426447.429723</v>
      </c>
      <c r="E13" s="20">
        <f>E9+E10+E11+E12</f>
        <v>8372290406.639901</v>
      </c>
      <c r="F13" s="20">
        <f>F9+F10+F11+F12</f>
        <v>8702417646.779934</v>
      </c>
      <c r="G13" s="20">
        <f>G9+G10+G11+G12</f>
        <v>9037420483.59609</v>
      </c>
      <c r="H13" s="20">
        <f>H9+H10+H11+H12</f>
        <v>9376883483.316042</v>
      </c>
      <c r="I13" s="20">
        <f>I9+I10+I11+I12</f>
        <v>9720363895.595312</v>
      </c>
      <c r="J13" s="20">
        <f>J9+J10+J11+J12</f>
        <v>10067392222.879793</v>
      </c>
      <c r="K13" s="20">
        <f>K9+K10+K11+K12</f>
        <v>10417472928.164387</v>
      </c>
    </row>
    <row r="14" spans="1:11" x14ac:dyDescent="0.25">
      <c r="A14" t="s">
        <v>57</v>
      </c>
      <c r="B14" s="21">
        <f>1/(1+Assumptions!$B$26)^(1-0.5*Assumptions!$B$32)</f>
        <v>0.9631306035607861</v>
      </c>
      <c r="C14" s="21">
        <f>1/(1+Assumptions!$B$26)^(2-0.5*Assumptions!$B$32)</f>
        <v>0.8934197493614265</v>
      </c>
      <c r="D14" s="21">
        <f>1/(1+Assumptions!$B$26)^(3-0.5*Assumptions!$B$32)</f>
        <v>0.8287545277847227</v>
      </c>
      <c r="E14" s="21">
        <f>1/(1+Assumptions!$B$26)^(4-0.5*Assumptions!$B$32)</f>
        <v>0.7687697387645557</v>
      </c>
      <c r="F14" s="21">
        <f>1/(1+Assumptions!$B$26)^(5-0.5*Assumptions!$B$32)</f>
        <v>0.7131266152112574</v>
      </c>
      <c r="G14" s="21">
        <f>1/(1+Assumptions!$B$26)^(6-0.5*Assumptions!$B$32)</f>
        <v>0.6615109098075642</v>
      </c>
      <c r="H14" s="21">
        <f>1/(1+Assumptions!$B$26)^(7-0.5*Assumptions!$B$32)</f>
        <v>0.6136311202812101</v>
      </c>
      <c r="I14" s="21">
        <f>1/(1+Assumptions!$B$26)^(8-0.5*Assumptions!$B$32)</f>
        <v>0.5692168431312958</v>
      </c>
      <c r="J14" s="21">
        <f>1/(1+Assumptions!$B$26)^(9-0.5*Assumptions!$B$32)</f>
        <v>0.5280172465110218</v>
      </c>
      <c r="K14" s="21">
        <f>1/(1+Assumptions!$B$26)^(10-0.5*Assumptions!$B$32)</f>
        <v>0.48979965364231587</v>
      </c>
    </row>
    <row r="15" spans="1:11" x14ac:dyDescent="0.25">
      <c r="A15" s="19" t="s">
        <v>58</v>
      </c>
      <c r="B15" s="20">
        <f>B13*B14</f>
        <v>7027341383.293084</v>
      </c>
      <c r="C15" s="20">
        <f>C13*C14</f>
        <v>6904513467.230707</v>
      </c>
      <c r="D15" s="20">
        <f>D13*D14</f>
        <v>6669341105.321908</v>
      </c>
      <c r="E15" s="20">
        <f>E13*E14</f>
        <v>6436363508.773553</v>
      </c>
      <c r="F15" s="20">
        <f>F13*F14</f>
        <v>6205925640.60289</v>
      </c>
      <c r="G15" s="20">
        <f>G13*G14</f>
        <v>5978352246.417167</v>
      </c>
      <c r="H15" s="20">
        <f>H13*H14</f>
        <v>5753947516.613599</v>
      </c>
      <c r="I15" s="20">
        <f>I13*I14</f>
        <v>5532994850.738189</v>
      </c>
      <c r="J15" s="20">
        <f>J13*J14</f>
        <v>5315756721.071464</v>
      </c>
      <c r="K15" s="20">
        <f>K13*K14</f>
        <v>5102474632.0431185</v>
      </c>
    </row>
    <row r="17" spans="1:2" x14ac:dyDescent="0.25">
      <c r="A17" s="22" t="s">
        <v>59</v>
      </c>
      <c r="B17" s="23">
        <f>SUM(B15:K15)</f>
        <v>60927011072.10568</v>
      </c>
    </row>
    <row r="19" spans="1:11" x14ac:dyDescent="0.25">
      <c r="A19" t="s">
        <v>7</v>
      </c>
      <c r="B19" s="9">
        <f>Assumptions!$B$10+($B$20-Assumptions!$B$10)*0/9</f>
        <v>0.07010802325134752</v>
      </c>
      <c r="C19" s="9">
        <f>Assumptions!$B$10+($B$20-Assumptions!$B$10)*1/9</f>
        <v>0.0692303441922947</v>
      </c>
      <c r="D19" s="9">
        <f>Assumptions!$B$10+($B$20-Assumptions!$B$10)*2/9</f>
        <v>0.06835266513324187</v>
      </c>
      <c r="E19" s="9">
        <f>Assumptions!$B$10+($B$20-Assumptions!$B$10)*3/9</f>
        <v>0.06747498607418906</v>
      </c>
      <c r="F19" s="9">
        <f>Assumptions!$B$10+($B$20-Assumptions!$B$10)*4/9</f>
        <v>0.06659730701513623</v>
      </c>
      <c r="G19" s="9">
        <f>Assumptions!$B$10+($B$20-Assumptions!$B$10)*5/9</f>
        <v>0.06571962795608341</v>
      </c>
      <c r="H19" s="9">
        <f>Assumptions!$B$10+($B$20-Assumptions!$B$10)*6/9</f>
        <v>0.06484194889703059</v>
      </c>
      <c r="I19" s="9">
        <f>Assumptions!$B$10+($B$20-Assumptions!$B$10)*7/9</f>
        <v>0.06396426983797777</v>
      </c>
      <c r="J19" s="9">
        <f>Assumptions!$B$10+($B$20-Assumptions!$B$10)*8/9</f>
        <v>0.06308659077892495</v>
      </c>
      <c r="K19" s="9">
        <f>Assumptions!$B$10+($B$20-Assumptions!$B$10)*9/9</f>
        <v>0.062208911719872126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0.062208911719872126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10417472928.164387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12192244339.331238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0.12237800687467809</v>
      </c>
    </row>
    <row r="7" spans="1:2" x14ac:dyDescent="0.25">
      <c r="A7" t="s">
        <v>66</v>
      </c>
      <c r="B7" s="18">
        <f>-MAX(B5,0)*B6</f>
        <v>-1492062561.5764332</v>
      </c>
    </row>
    <row r="8" spans="1:2" x14ac:dyDescent="0.25">
      <c r="A8" t="s">
        <v>67</v>
      </c>
      <c r="B8" s="18">
        <f>IF(OR(Assumptions!$B$33=0,Assumptions!B12&lt;=0),B5,MAX(B5+B7,0))</f>
        <v>10700181777.754805</v>
      </c>
    </row>
    <row r="9" spans="1:2" x14ac:dyDescent="0.25">
      <c r="A9" t="s">
        <v>68</v>
      </c>
      <c r="B9" s="18">
        <f>B8*(1+Assumptions!B12)/(Assumptions!B26-Assumptions!B12)</f>
        <v>206832147952.2175</v>
      </c>
    </row>
    <row r="10" spans="1:2" x14ac:dyDescent="0.25">
      <c r="A10" t="s">
        <v>69</v>
      </c>
      <c r="B10" s="18">
        <f>B9/(1+Assumptions!B26)^(10-0.5*Assumptions!B32)</f>
        <v>101306314429.09236</v>
      </c>
    </row>
    <row r="11" spans="1:2" x14ac:dyDescent="0.25">
      <c r="A11" t="s">
        <v>70</v>
      </c>
      <c r="B11" s="18">
        <f>Forecast!B17+B10</f>
        <v>162233325501.19806</v>
      </c>
    </row>
    <row r="12" spans="1:2" x14ac:dyDescent="0.25">
      <c r="A12" t="s">
        <v>71</v>
      </c>
      <c r="B12" s="18">
        <f>-Assumptions!B30</f>
        <v>-47657000000</v>
      </c>
    </row>
    <row r="13" spans="1:2" x14ac:dyDescent="0.25">
      <c r="A13" t="s">
        <v>72</v>
      </c>
      <c r="B13" s="18">
        <f>B11+B12</f>
        <v>114576325501.19806</v>
      </c>
    </row>
    <row r="14" spans="1:2" x14ac:dyDescent="0.25">
      <c r="A14" s="19" t="s">
        <v>73</v>
      </c>
      <c r="B14" s="24">
        <f>B13/Assumptions!B31</f>
        <v>478.4080064351993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20250540132.64756</v>
      </c>
    </row>
    <row r="18" spans="1:2" x14ac:dyDescent="0.25">
      <c r="A18" t="s">
        <v>68</v>
      </c>
      <c r="B18" s="18">
        <f>B17*Assumptions!B13</f>
        <v>191552279891.05832</v>
      </c>
    </row>
    <row r="19" spans="1:2" x14ac:dyDescent="0.25">
      <c r="A19" t="s">
        <v>69</v>
      </c>
      <c r="B19" s="18">
        <f>B18/(1+Assumptions!B26)^(10-0.5*Assumptions!B32)</f>
        <v>93822240345.03632</v>
      </c>
    </row>
    <row r="20" spans="1:2" x14ac:dyDescent="0.25">
      <c r="A20" t="s">
        <v>70</v>
      </c>
      <c r="B20" s="18">
        <f>Forecast!B17+B19</f>
        <v>154749251417.142</v>
      </c>
    </row>
    <row r="21" spans="1:2" x14ac:dyDescent="0.25">
      <c r="A21" t="s">
        <v>71</v>
      </c>
      <c r="B21" s="18">
        <f>-Assumptions!B30</f>
        <v>-47657000000</v>
      </c>
    </row>
    <row r="22" spans="1:2" x14ac:dyDescent="0.25">
      <c r="A22" t="s">
        <v>72</v>
      </c>
      <c r="B22" s="18">
        <f>B20+B21</f>
        <v>107092251417.142</v>
      </c>
    </row>
    <row r="23" spans="1:2" x14ac:dyDescent="0.25">
      <c r="A23" s="19" t="s">
        <v>73</v>
      </c>
      <c r="B23" s="25">
        <f>B22/Assumptions!B31</f>
        <v>447.1586104809787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473.19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478.4080064351993</v>
      </c>
    </row>
    <row r="29" spans="1:2" x14ac:dyDescent="0.25">
      <c r="A29" s="19" t="s">
        <v>81</v>
      </c>
      <c r="B29" s="11">
        <f>B28/B26-1</f>
        <v>0.011027296509223072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0.058027</v>
      </c>
      <c r="B5" s="31">
        <v>738.2783617762007</v>
      </c>
      <c r="C5" s="31">
        <v>804.0045897020299</v>
      </c>
      <c r="D5" s="31">
        <v>890.6101104442649</v>
      </c>
      <c r="E5" s="31">
        <v>1009.2694839717253</v>
      </c>
      <c r="F5" s="31">
        <v>1180.862885373583</v>
      </c>
    </row>
    <row r="6" spans="1:6" x14ac:dyDescent="0.25">
      <c r="A6" s="30">
        <v>0.068027</v>
      </c>
      <c r="B6" s="31">
        <v>557.5121773414319</v>
      </c>
      <c r="C6" s="31">
        <v>592.5609991225463</v>
      </c>
      <c r="D6" s="31">
        <v>636.4652633383757</v>
      </c>
      <c r="E6" s="31">
        <v>692.7180574404877</v>
      </c>
      <c r="F6" s="31">
        <v>766.9277608849094</v>
      </c>
    </row>
    <row r="7" spans="1:6" x14ac:dyDescent="0.25">
      <c r="A7" s="30">
        <v>0.078027</v>
      </c>
      <c r="B7" s="31">
        <v>434.4740934703432</v>
      </c>
      <c r="C7" s="31">
        <v>454.2993605682347</v>
      </c>
      <c r="D7" s="32">
        <v>478.4078833157841</v>
      </c>
      <c r="E7" s="31">
        <v>508.1374266107547</v>
      </c>
      <c r="F7" s="31">
        <v>545.4475811336798</v>
      </c>
    </row>
    <row r="8" spans="1:6" x14ac:dyDescent="0.25">
      <c r="A8" s="30">
        <v>0.088027</v>
      </c>
      <c r="B8" s="31">
        <v>345.42260087905396</v>
      </c>
      <c r="C8" s="31">
        <v>356.92408736500823</v>
      </c>
      <c r="D8" s="31">
        <v>370.6840476835611</v>
      </c>
      <c r="E8" s="31">
        <v>387.2862981183218</v>
      </c>
      <c r="F8" s="31">
        <v>407.5348508092021</v>
      </c>
    </row>
    <row r="9" spans="1:6" x14ac:dyDescent="0.25">
      <c r="A9" s="30">
        <v>0.098027</v>
      </c>
      <c r="B9" s="31">
        <v>278.0563429232059</v>
      </c>
      <c r="C9" s="31">
        <v>284.6975573142458</v>
      </c>
      <c r="D9" s="31">
        <v>292.60270493438753</v>
      </c>
      <c r="E9" s="31">
        <v>302.05048392461225</v>
      </c>
      <c r="F9" s="31">
        <v>313.4080301243417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75600000000</v>
      </c>
      <c r="C5" s="18">
        <v>70603000000</v>
      </c>
      <c r="D5" s="18">
        <v>64968000000</v>
      </c>
      <c r="E5" s="18">
        <v>60233000000</v>
      </c>
      <c r="F5" s="6" t="s">
        <v>91</v>
      </c>
    </row>
    <row r="6" spans="1:6" x14ac:dyDescent="0.25">
      <c r="A6" t="s">
        <v>51</v>
      </c>
      <c r="B6" s="18">
        <v>11965000000</v>
      </c>
      <c r="C6" s="18">
        <v>10547000000</v>
      </c>
      <c r="D6" s="18">
        <v>9627000000</v>
      </c>
      <c r="E6" s="18">
        <v>9053000000</v>
      </c>
      <c r="F6" s="6" t="s">
        <v>92</v>
      </c>
    </row>
    <row r="7" spans="1:6" x14ac:dyDescent="0.25">
      <c r="A7" t="s">
        <v>93</v>
      </c>
      <c r="B7" s="18">
        <v>3523000000</v>
      </c>
      <c r="C7" s="18">
        <v>3312000000</v>
      </c>
      <c r="D7" s="18">
        <v>3077000000</v>
      </c>
      <c r="E7" s="18">
        <v>2969000000</v>
      </c>
      <c r="F7" s="6" t="s">
        <v>94</v>
      </c>
    </row>
    <row r="8" spans="1:6" x14ac:dyDescent="0.25">
      <c r="A8" t="s">
        <v>95</v>
      </c>
      <c r="B8" s="18">
        <v>4944000000</v>
      </c>
      <c r="C8" s="18">
        <v>4875000000</v>
      </c>
      <c r="D8" s="18">
        <v>4744000000</v>
      </c>
      <c r="E8" s="18">
        <v>4395000000</v>
      </c>
      <c r="F8" s="6" t="s">
        <v>96</v>
      </c>
    </row>
    <row r="9" spans="1:6" x14ac:dyDescent="0.25">
      <c r="A9" t="s">
        <v>97</v>
      </c>
      <c r="B9" s="18">
        <v>-418000000</v>
      </c>
      <c r="C9" s="18">
        <v>106000000</v>
      </c>
      <c r="D9" s="18">
        <v>457000000</v>
      </c>
      <c r="E9" s="18">
        <v>1152000000</v>
      </c>
      <c r="F9" s="6" t="s">
        <v>98</v>
      </c>
    </row>
    <row r="10" spans="1:6" x14ac:dyDescent="0.25">
      <c r="A10" t="s">
        <v>99</v>
      </c>
      <c r="B10" s="18">
        <v>48697000000</v>
      </c>
      <c r="C10" s="18">
        <v>45237000000</v>
      </c>
      <c r="D10" s="18">
        <v>41859000000</v>
      </c>
      <c r="E10" s="18">
        <v>40200000000</v>
      </c>
      <c r="F10" s="6" t="s">
        <v>100</v>
      </c>
    </row>
    <row r="11" spans="1:6" x14ac:dyDescent="0.25">
      <c r="A11" t="s">
        <v>101</v>
      </c>
      <c r="B11" s="18">
        <v>1040000000</v>
      </c>
      <c r="C11" s="18">
        <v>1933000000</v>
      </c>
      <c r="D11" s="18">
        <v>935000000</v>
      </c>
      <c r="E11" s="18">
        <v>908000000</v>
      </c>
      <c r="F11" s="6" t="s">
        <v>102</v>
      </c>
    </row>
    <row r="12" spans="1:6" x14ac:dyDescent="0.25">
      <c r="A12" t="s">
        <v>34</v>
      </c>
      <c r="B12" s="34">
        <v>239495000</v>
      </c>
      <c r="C12" s="34">
        <v>261806000</v>
      </c>
      <c r="D12" s="34">
        <v>276412000</v>
      </c>
      <c r="E12" s="34">
        <v>294666000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