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<sst xmlns="http://schemas.openxmlformats.org/spreadsheetml/2006/main" count="111" uniqueCount="99">
  <si>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The Home Depot, Inc. (HD)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</si>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</sst>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0.015185146415588768</v>
      </c>
    </row>
    <row r="7" spans="1:2" x14ac:dyDescent="0.25">
      <c r="A7" t="s">
        <v>5</v>
      </c>
      <c r="B7" s="6">
        <v>0.13914632802676088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0.022192616137030424</v>
      </c>
    </row>
    <row r="10" spans="1:2" x14ac:dyDescent="0.25">
      <c r="A10" t="s">
        <v>8</v>
      </c>
      <c r="B10" s="6">
        <v>0.02128339031345653</v>
      </c>
    </row>
    <row r="11" spans="1:2" x14ac:dyDescent="0.25">
      <c r="A11" t="s">
        <v>9</v>
      </c>
      <c r="B11" s="6">
        <v>0.44106463878326996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14.523526496981328</v>
      </c>
    </row>
    <row r="14" spans="1:3" x14ac:dyDescent="0.25">
      <c r="A14" t="s">
        <v>12</v>
      </c>
      <c r="B14" s="6">
        <v>0.3313862465425975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0.96985</v>
      </c>
      <c r="C19" s="8" t="s">
        <v>19</v>
      </c>
    </row>
    <row r="20" spans="1:2" x14ac:dyDescent="0.25">
      <c r="A20" t="s">
        <v>20</v>
      </c>
      <c r="B20" s="10">
        <f>B17+B19*B18</f>
        <v>0.10332175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299286921216</v>
      </c>
    </row>
    <row r="23" spans="1:2" x14ac:dyDescent="0.25">
      <c r="A23" t="s">
        <v>24</v>
      </c>
      <c r="B23" s="11">
        <v>65350000000</v>
      </c>
    </row>
    <row r="24" spans="1:2" x14ac:dyDescent="0.25">
      <c r="A24" t="s">
        <v>25</v>
      </c>
      <c r="B24" s="10">
        <f>B22/(B22+B23)</f>
        <v>0.8207806280777349</v>
      </c>
    </row>
    <row r="25" spans="1:2" x14ac:dyDescent="0.25">
      <c r="A25" t="s">
        <v>26</v>
      </c>
      <c r="B25" s="10">
        <f>1-B24</f>
        <v>0.1792193719222651</v>
      </c>
    </row>
    <row r="26" spans="1:2" x14ac:dyDescent="0.25">
      <c r="A26" t="s">
        <v>27</v>
      </c>
      <c r="B26" s="12">
        <f>B24*B20+B25*B21*(1-B8)</f>
        <v>0.09188082438394381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164683000000</v>
      </c>
      <c r="C29" s="8" t="s">
        <v>30</v>
      </c>
    </row>
    <row r="30" spans="1:2" x14ac:dyDescent="0.25">
      <c r="A30" t="s">
        <v>31</v>
      </c>
      <c r="B30" s="11">
        <v>63961000000</v>
      </c>
    </row>
    <row r="31" spans="1:2" x14ac:dyDescent="0.25">
      <c r="A31" t="s">
        <v>32</v>
      </c>
      <c r="B31" s="13">
        <v>995000000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0.015185146415588768</v>
      </c>
      <c r="C5" s="10">
        <f>Assumptions!B6</f>
        <v>0.015185146415588768</v>
      </c>
      <c r="D5" s="10">
        <f>Assumptions!B6</f>
        <v>0.015185146415588768</v>
      </c>
      <c r="E5" s="10">
        <f>Assumptions!B6</f>
        <v>0.015185146415588768</v>
      </c>
      <c r="F5" s="10">
        <f>Assumptions!B6</f>
        <v>0.015185146415588768</v>
      </c>
    </row>
    <row r="6" spans="1:6" x14ac:dyDescent="0.25">
      <c r="A6" t="s">
        <v>43</v>
      </c>
      <c r="B6" s="18">
        <f>Assumptions!B29*(1+B5)</f>
        <v>167183735467.15842</v>
      </c>
      <c r="C6" s="18">
        <f>B6*(1+C5)</f>
        <v>169722444968.5323</v>
      </c>
      <c r="D6" s="18">
        <f>C6*(1+D5)</f>
        <v>172299705145.39114</v>
      </c>
      <c r="E6" s="18">
        <f>D6*(1+E5)</f>
        <v>174916101395.3867</v>
      </c>
      <c r="F6" s="18">
        <f>E6*(1+F5)</f>
        <v>177572228005.5196</v>
      </c>
    </row>
    <row r="7" spans="1:6" x14ac:dyDescent="0.25">
      <c r="A7" t="s">
        <v>5</v>
      </c>
      <c r="B7" s="10">
        <f>Assumptions!B7</f>
        <v>0.13914632802676088</v>
      </c>
      <c r="C7" s="10">
        <f>Assumptions!B7</f>
        <v>0.13914632802676088</v>
      </c>
      <c r="D7" s="10">
        <f>Assumptions!B7</f>
        <v>0.13914632802676088</v>
      </c>
      <c r="E7" s="10">
        <f>Assumptions!B7</f>
        <v>0.13914632802676088</v>
      </c>
      <c r="F7" s="10">
        <f>Assumptions!B7</f>
        <v>0.13914632802676088</v>
      </c>
    </row>
    <row r="8" spans="1:6" x14ac:dyDescent="0.25">
      <c r="A8" t="s">
        <v>44</v>
      </c>
      <c r="B8" s="18">
        <f>B6*B7</f>
        <v>23263002896.052444</v>
      </c>
      <c r="C8" s="18">
        <f>C6*C7</f>
        <v>23616255001.095264</v>
      </c>
      <c r="D8" s="18">
        <f>D6*D7</f>
        <v>23974871291.074776</v>
      </c>
      <c r="E8" s="18">
        <f>E6*E7</f>
        <v>24338933221.924644</v>
      </c>
      <c r="F8" s="18">
        <f>F6*F7</f>
        <v>24708523486.498806</v>
      </c>
    </row>
    <row r="9" spans="1:6" x14ac:dyDescent="0.25">
      <c r="A9" t="s">
        <v>45</v>
      </c>
      <c r="B9" s="18">
        <f>B8*(1-Assumptions!B8)</f>
        <v>18377772287.88143</v>
      </c>
      <c r="C9" s="18">
        <f>C8*(1-Assumptions!B8)</f>
        <v>18656841450.86526</v>
      </c>
      <c r="D9" s="18">
        <f>D8*(1-Assumptions!B8)</f>
        <v>18940148319.949074</v>
      </c>
      <c r="E9" s="18">
        <f>E8*(1-Assumptions!B8)</f>
        <v>19227757245.32047</v>
      </c>
      <c r="F9" s="18">
        <f>F8*(1-Assumptions!B8)</f>
        <v>19519733554.334057</v>
      </c>
    </row>
    <row r="10" spans="1:6" x14ac:dyDescent="0.25">
      <c r="A10" t="s">
        <v>46</v>
      </c>
      <c r="B10" s="18">
        <f>B6*Assumptions!B9</f>
        <v>3710244465.5774856</v>
      </c>
      <c r="C10" s="18">
        <f>C6*Assumptions!B9</f>
        <v>3766585071.0249076</v>
      </c>
      <c r="D10" s="18">
        <f>D6*Assumptions!B9</f>
        <v>3823781216.8151913</v>
      </c>
      <c r="E10" s="18">
        <f>E6*Assumptions!B9</f>
        <v>3881845894.453708</v>
      </c>
      <c r="F10" s="18">
        <f>F6*Assumptions!B9</f>
        <v>3940792292.7237396</v>
      </c>
    </row>
    <row r="11" spans="1:6" x14ac:dyDescent="0.25">
      <c r="A11" t="s">
        <v>47</v>
      </c>
      <c r="B11" s="18">
        <f>-B6*Assumptions!B10</f>
        <v>-3558236696.0091987</v>
      </c>
      <c r="C11" s="18">
        <f>-C6*Assumptions!B10</f>
        <v>-3612269041.219419</v>
      </c>
      <c r="D11" s="18">
        <f>-D6*Assumptions!B10</f>
        <v>-3667121875.5028343</v>
      </c>
      <c r="E11" s="18">
        <f>-E6*Assumptions!B10</f>
        <v>-3722807658.1061535</v>
      </c>
      <c r="F11" s="18">
        <f>-F6*Assumptions!B10</f>
        <v>-3779339037.47157</v>
      </c>
    </row>
    <row r="12" spans="1:6" x14ac:dyDescent="0.25">
      <c r="A12" t="s">
        <v>48</v>
      </c>
      <c r="B12" s="18">
        <f>-(B6-Assumptions!B29)*Assumptions!B11</f>
        <v>-1102985985.514739</v>
      </c>
      <c r="C12" s="18">
        <f>-(C6-B6)*Assumptions!B11</f>
        <v>-1119734989.1991217</v>
      </c>
      <c r="D12" s="18">
        <f>-(D6-C6)*Assumptions!B11</f>
        <v>-1136738328.9567578</v>
      </c>
      <c r="E12" s="18">
        <f>-(E6-D6)*Assumptions!B11</f>
        <v>-1153999866.918187</v>
      </c>
      <c r="F12" s="18">
        <f>-(F6-E6)*Assumptions!B11</f>
        <v>-1171523523.8609006</v>
      </c>
    </row>
    <row r="13" spans="1:6" x14ac:dyDescent="0.25">
      <c r="A13" s="19" t="s">
        <v>49</v>
      </c>
      <c r="B13" s="20">
        <f>B9+B10+B11+B12</f>
        <v>17426794071.93498</v>
      </c>
      <c r="C13" s="20">
        <f>C9+C10+C11+C12</f>
        <v>17691422491.471626</v>
      </c>
      <c r="D13" s="20">
        <f>D9+D10+D11+D12</f>
        <v>17960069332.304676</v>
      </c>
      <c r="E13" s="20">
        <f>E9+E10+E11+E12</f>
        <v>18232795614.749836</v>
      </c>
      <c r="F13" s="20">
        <f>F9+F10+F11+F12</f>
        <v>18509663285.725327</v>
      </c>
    </row>
    <row r="14" spans="1:6" x14ac:dyDescent="0.25">
      <c r="A14" t="s">
        <v>50</v>
      </c>
      <c r="B14" s="21">
        <f>1/(1+Assumptions!$B$26)^(1-0.5*Assumptions!$B$32)</f>
        <v>0.9570009756002076</v>
      </c>
      <c r="C14" s="21">
        <f>1/(1+Assumptions!$B$26)^(2-0.5*Assumptions!$B$32)</f>
        <v>0.8764701735101563</v>
      </c>
      <c r="D14" s="21">
        <f>1/(1+Assumptions!$B$26)^(3-0.5*Assumptions!$B$32)</f>
        <v>0.8027159685716383</v>
      </c>
      <c r="E14" s="21">
        <f>1/(1+Assumptions!$B$26)^(4-0.5*Assumptions!$B$32)</f>
        <v>0.7351681160116932</v>
      </c>
      <c r="F14" s="21">
        <f>1/(1+Assumptions!$B$26)^(5-0.5*Assumptions!$B$32)</f>
        <v>0.6733043566604318</v>
      </c>
    </row>
    <row r="15" spans="1:6" x14ac:dyDescent="0.25">
      <c r="A15" s="19" t="s">
        <v>51</v>
      </c>
      <c r="B15" s="20">
        <f>B13*B14</f>
        <v>16677458928.425688</v>
      </c>
      <c r="C15" s="20">
        <f>C13*C14</f>
        <v>15506004140.74162</v>
      </c>
      <c r="D15" s="20">
        <f>D13*D14</f>
        <v>14416834449.694725</v>
      </c>
      <c r="E15" s="20">
        <f>E13*E14</f>
        <v>13404170001.721899</v>
      </c>
      <c r="F15" s="20">
        <f>F13*F14</f>
        <v>12462636930.596504</v>
      </c>
    </row>
    <row r="17" spans="1:2" x14ac:dyDescent="0.25">
      <c r="A17" s="22" t="s">
        <v>52</v>
      </c>
      <c r="B17" s="23">
        <f>SUM(B15:F15)</f>
        <v>72467104451.18044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18509663285.725327</v>
      </c>
    </row>
    <row r="5" spans="1:2" x14ac:dyDescent="0.25">
      <c r="A5" t="s">
        <v>56</v>
      </c>
      <c r="B5" s="18">
        <f>IF(Assumptions!$B$33=0,B4,B4-Forecast!F11-Forecast!F10-Forecast!F12)</f>
        <v>19825048426.142002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0.0754406685878752</v>
      </c>
    </row>
    <row r="7" spans="1:2" x14ac:dyDescent="0.25">
      <c r="A7" t="s">
        <v>58</v>
      </c>
      <c r="B7" s="18">
        <f>-MAX(Forecast!F9,0)*B6</f>
        <v>-1495614908.0551555</v>
      </c>
    </row>
    <row r="8" spans="1:2" x14ac:dyDescent="0.25">
      <c r="A8" t="s">
        <v>59</v>
      </c>
      <c r="B8" s="18">
        <f>IF(OR(Assumptions!$B$33=0,Assumptions!B12&lt;=0),B5,MAX(B5+B7,0))</f>
        <v>18329433518.086845</v>
      </c>
    </row>
    <row r="9" spans="1:2" x14ac:dyDescent="0.25">
      <c r="A9" t="s">
        <v>60</v>
      </c>
      <c r="B9" s="18">
        <f>B8*(1+Assumptions!B12)/(Assumptions!B26-Assumptions!B12)</f>
        <v>280912646174.69946</v>
      </c>
    </row>
    <row r="10" spans="1:2" x14ac:dyDescent="0.25">
      <c r="A10" t="s">
        <v>61</v>
      </c>
      <c r="B10" s="18">
        <f>B9/(1+Assumptions!B26)^(5-0.5*Assumptions!B32)</f>
        <v>189139708510.43552</v>
      </c>
    </row>
    <row r="11" spans="1:2" x14ac:dyDescent="0.25">
      <c r="A11" t="s">
        <v>62</v>
      </c>
      <c r="B11" s="18">
        <f>Forecast!B17+B10</f>
        <v>261606812961.61597</v>
      </c>
    </row>
    <row r="12" spans="1:2" x14ac:dyDescent="0.25">
      <c r="A12" t="s">
        <v>63</v>
      </c>
      <c r="B12" s="18">
        <f>-Assumptions!B30</f>
        <v>-63961000000</v>
      </c>
    </row>
    <row r="13" spans="1:2" x14ac:dyDescent="0.25">
      <c r="A13" t="s">
        <v>64</v>
      </c>
      <c r="B13" s="18">
        <f>B11+B12</f>
        <v>197645812961.61597</v>
      </c>
    </row>
    <row r="14" spans="1:2" x14ac:dyDescent="0.25">
      <c r="A14" s="19" t="s">
        <v>65</v>
      </c>
      <c r="B14" s="24">
        <f>B13/Assumptions!B31</f>
        <v>198.6390080016241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28649315779.222546</v>
      </c>
    </row>
    <row r="18" spans="1:2" x14ac:dyDescent="0.25">
      <c r="A18" t="s">
        <v>60</v>
      </c>
      <c r="B18" s="18">
        <f>B17*Assumptions!B13</f>
        <v>416089096839.9239</v>
      </c>
    </row>
    <row r="19" spans="1:2" x14ac:dyDescent="0.25">
      <c r="A19" t="s">
        <v>61</v>
      </c>
      <c r="B19" s="18">
        <f>B18/(1+Assumptions!B26)^(5-0.5*Assumptions!B32)</f>
        <v>280154601661.22504</v>
      </c>
    </row>
    <row r="20" spans="1:2" x14ac:dyDescent="0.25">
      <c r="A20" t="s">
        <v>62</v>
      </c>
      <c r="B20" s="18">
        <f>Forecast!B17+B19</f>
        <v>352621706112.40546</v>
      </c>
    </row>
    <row r="21" spans="1:2" x14ac:dyDescent="0.25">
      <c r="A21" t="s">
        <v>63</v>
      </c>
      <c r="B21" s="18">
        <f>-Assumptions!B30</f>
        <v>-63961000000</v>
      </c>
    </row>
    <row r="22" spans="1:2" x14ac:dyDescent="0.25">
      <c r="A22" t="s">
        <v>64</v>
      </c>
      <c r="B22" s="18">
        <f>B20+B21</f>
        <v>288660706112.40546</v>
      </c>
    </row>
    <row r="23" spans="1:2" x14ac:dyDescent="0.25">
      <c r="A23" s="19" t="s">
        <v>65</v>
      </c>
      <c r="B23" s="25">
        <f>B22/Assumptions!B31</f>
        <v>290.1112624245281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299.98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198.6390080016241</v>
      </c>
    </row>
    <row r="29" spans="1:2" x14ac:dyDescent="0.25">
      <c r="A29" s="19" t="s">
        <v>73</v>
      </c>
      <c r="B29" s="12">
        <f>B28/B26-1</f>
        <v>-0.33782582838314523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0.071881</v>
      </c>
      <c r="B5" s="31">
        <v>260.1933010094304</v>
      </c>
      <c r="C5" s="31">
        <v>281.1473293358183</v>
      </c>
      <c r="D5" s="31">
        <v>306.52405693663184</v>
      </c>
      <c r="E5" s="31">
        <v>337.90750733366804</v>
      </c>
      <c r="F5" s="31">
        <v>377.7406956822463</v>
      </c>
    </row>
    <row r="6" spans="1:6" x14ac:dyDescent="0.25">
      <c r="A6" s="30">
        <v>0.081881</v>
      </c>
      <c r="B6" s="31">
        <v>212.74568847170227</v>
      </c>
      <c r="C6" s="31">
        <v>226.71664620445551</v>
      </c>
      <c r="D6" s="31">
        <v>243.10668738694818</v>
      </c>
      <c r="E6" s="31">
        <v>262.61522513276884</v>
      </c>
      <c r="F6" s="31">
        <v>286.2400506249109</v>
      </c>
    </row>
    <row r="7" spans="1:6" x14ac:dyDescent="0.25">
      <c r="A7" s="30">
        <v>0.091881</v>
      </c>
      <c r="B7" s="31">
        <v>177.64446556407017</v>
      </c>
      <c r="C7" s="31">
        <v>187.42532344573706</v>
      </c>
      <c r="D7" s="32">
        <v>198.63834369894698</v>
      </c>
      <c r="E7" s="31">
        <v>211.6306835379197</v>
      </c>
      <c r="F7" s="31">
        <v>226.87156456189658</v>
      </c>
    </row>
    <row r="8" spans="1:6" x14ac:dyDescent="0.25">
      <c r="A8" s="30">
        <v>0.101881</v>
      </c>
      <c r="B8" s="31">
        <v>150.62606034774157</v>
      </c>
      <c r="C8" s="31">
        <v>157.7265495088462</v>
      </c>
      <c r="D8" s="31">
        <v>165.7253376677438</v>
      </c>
      <c r="E8" s="31">
        <v>174.80988027117127</v>
      </c>
      <c r="F8" s="31">
        <v>185.22368917851983</v>
      </c>
    </row>
    <row r="9" spans="1:6" x14ac:dyDescent="0.25">
      <c r="A9" s="30">
        <v>0.111881</v>
      </c>
      <c r="B9" s="31">
        <v>129.18725856101645</v>
      </c>
      <c r="C9" s="31">
        <v>134.48829544464127</v>
      </c>
      <c r="D9" s="31">
        <v>140.37801111589945</v>
      </c>
      <c r="E9" s="31">
        <v>146.9642472207711</v>
      </c>
      <c r="F9" s="31">
        <v>154.3828995788242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164683000000</v>
      </c>
      <c r="C5" s="18">
        <v>159514000000</v>
      </c>
      <c r="D5" s="18">
        <v>152669000000</v>
      </c>
      <c r="E5" s="18">
        <v>157403000000</v>
      </c>
      <c r="F5" s="8" t="s">
        <v>84</v>
      </c>
    </row>
    <row r="6" spans="1:6" x14ac:dyDescent="0.25">
      <c r="A6" t="s">
        <v>44</v>
      </c>
      <c r="B6" s="18">
        <v>20890000000</v>
      </c>
      <c r="C6" s="18">
        <v>21526000000</v>
      </c>
      <c r="D6" s="18">
        <v>21689000000</v>
      </c>
      <c r="E6" s="18">
        <v>24039000000</v>
      </c>
      <c r="F6" s="8" t="s">
        <v>85</v>
      </c>
    </row>
    <row r="7" spans="1:6" x14ac:dyDescent="0.25">
      <c r="A7" t="s">
        <v>86</v>
      </c>
      <c r="B7" s="18">
        <v>4121000000</v>
      </c>
      <c r="C7" s="18">
        <v>3761000000</v>
      </c>
      <c r="D7" s="18">
        <v>3247000000</v>
      </c>
      <c r="E7" s="18">
        <v>2975000000</v>
      </c>
      <c r="F7" s="8" t="s">
        <v>87</v>
      </c>
    </row>
    <row r="8" spans="1:6" x14ac:dyDescent="0.25">
      <c r="A8" t="s">
        <v>88</v>
      </c>
      <c r="B8" s="18">
        <v>3679000000</v>
      </c>
      <c r="C8" s="18">
        <v>3485000000</v>
      </c>
      <c r="D8" s="18">
        <v>3226000000</v>
      </c>
      <c r="E8" s="18">
        <v>3119000000</v>
      </c>
      <c r="F8" s="8" t="s">
        <v>89</v>
      </c>
    </row>
    <row r="9" spans="1:6" x14ac:dyDescent="0.25">
      <c r="A9" t="s">
        <v>90</v>
      </c>
      <c r="B9" s="18">
        <v>2666000000</v>
      </c>
      <c r="C9" s="18">
        <v>-694000000</v>
      </c>
      <c r="D9" s="18">
        <v>-2088000000</v>
      </c>
      <c r="E9" s="18">
        <v>6102000000</v>
      </c>
      <c r="F9" s="8" t="s">
        <v>91</v>
      </c>
    </row>
    <row r="10" spans="1:6" x14ac:dyDescent="0.25">
      <c r="A10" t="s">
        <v>92</v>
      </c>
      <c r="B10" s="18">
        <v>65350000000</v>
      </c>
      <c r="C10" s="18">
        <v>62290000000</v>
      </c>
      <c r="D10" s="18">
        <v>52243000000</v>
      </c>
      <c r="E10" s="18">
        <v>50364000000</v>
      </c>
      <c r="F10" s="8" t="s">
        <v>93</v>
      </c>
    </row>
    <row r="11" spans="1:6" x14ac:dyDescent="0.25">
      <c r="A11" t="s">
        <v>94</v>
      </c>
      <c r="B11" s="18">
        <v>1389000000</v>
      </c>
      <c r="C11" s="18">
        <v>1659000000</v>
      </c>
      <c r="D11" s="18">
        <v>3760000000</v>
      </c>
      <c r="E11" s="18">
        <v>2757000000</v>
      </c>
      <c r="F11" s="8" t="s">
        <v>95</v>
      </c>
    </row>
    <row r="12" spans="1:6" x14ac:dyDescent="0.25">
      <c r="A12" t="s">
        <v>32</v>
      </c>
      <c r="B12" s="34">
        <v>995000000</v>
      </c>
      <c r="C12" s="34">
        <v>993000000</v>
      </c>
      <c r="D12" s="34">
        <v>1002000000</v>
      </c>
      <c r="E12" s="34">
        <v>1025000000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