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<sst xmlns="http://schemas.openxmlformats.org/spreadsheetml/2006/main" count="119" uniqueCount="106">
  <si>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The Home Depot, Inc. (HD)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</si>
  <si>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</si>
  <si>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</si>
  <si>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</si>
  <si>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</si>
  <si>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</si>
  <si>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</si>
  <si>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</si>
  <si>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</si>
  <si>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</si>
  <si>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</si>
  <si>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</si>
  <si>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</si>
  <si>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</si>
  <si>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</si>
  <si>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</si>
  <si>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</si>
  <si>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</si>
  <si>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</si>
  <si>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</si>
  <si>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</si>
  <si>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</si>
  <si>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</si>
  <si>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</si>
  <si>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8.7x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</si>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</sst>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0.04160117304154043</v>
      </c>
    </row>
    <row r="7" spans="1:2" x14ac:dyDescent="0.25">
      <c r="A7" t="s">
        <v>4</v>
      </c>
      <c r="B7" s="5">
        <v>0.13914632802676088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0.022192616137030424</v>
      </c>
    </row>
    <row r="10" spans="1:3" x14ac:dyDescent="0.25">
      <c r="A10" t="s">
        <v>7</v>
      </c>
      <c r="B10" s="5">
        <v>0.02128339031345653</v>
      </c>
      <c r="C10" s="6" t="s">
        <v>8</v>
      </c>
    </row>
    <row r="11" spans="1:2" x14ac:dyDescent="0.25">
      <c r="A11" t="s">
        <v>9</v>
      </c>
      <c r="B11" s="5">
        <v>0.10129247896610998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15.68911403654392</v>
      </c>
    </row>
    <row r="14" spans="1:3" x14ac:dyDescent="0.25">
      <c r="A14" t="s">
        <v>12</v>
      </c>
      <c r="B14" s="5">
        <v>0.3313862465425975</v>
      </c>
      <c r="C14" s="6" t="s">
        <v>13</v>
      </c>
    </row>
    <row r="15" spans="1:3" x14ac:dyDescent="0.25">
      <c r="A15" t="s">
        <v>14</v>
      </c>
      <c r="B15" s="5">
        <v>0.020016180521975423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0.99933</v>
      </c>
      <c r="C19" s="6" t="s">
        <v>21</v>
      </c>
    </row>
    <row r="20" spans="1:2" x14ac:dyDescent="0.25">
      <c r="A20" t="s">
        <v>22</v>
      </c>
      <c r="B20" s="9">
        <f>B17+B19*B18</f>
        <v>0.091211659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328439431168</v>
      </c>
    </row>
    <row r="23" spans="1:2" x14ac:dyDescent="0.25">
      <c r="A23" t="s">
        <v>26</v>
      </c>
      <c r="B23" s="10">
        <v>65350000000</v>
      </c>
    </row>
    <row r="24" spans="1:2" x14ac:dyDescent="0.25">
      <c r="A24" t="s">
        <v>27</v>
      </c>
      <c r="B24" s="9">
        <f>B22/(B22+B23)</f>
        <v>0.8340483648680755</v>
      </c>
    </row>
    <row r="25" spans="1:2" x14ac:dyDescent="0.25">
      <c r="A25" t="s">
        <v>28</v>
      </c>
      <c r="B25" s="9">
        <f>1-B24</f>
        <v>0.16595163513192446</v>
      </c>
    </row>
    <row r="26" spans="1:2" x14ac:dyDescent="0.25">
      <c r="A26" t="s">
        <v>29</v>
      </c>
      <c r="B26" s="11">
        <f>B24*B20+B25*B21*(1-B8)</f>
        <v>0.0830154639013229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164683000000</v>
      </c>
      <c r="C29" s="6" t="s">
        <v>32</v>
      </c>
    </row>
    <row r="30" spans="1:2" x14ac:dyDescent="0.25">
      <c r="A30" t="s">
        <v>33</v>
      </c>
      <c r="B30" s="10">
        <v>63961000000</v>
      </c>
    </row>
    <row r="31" spans="1:2" x14ac:dyDescent="0.25">
      <c r="A31" t="s">
        <v>34</v>
      </c>
      <c r="B31" s="12">
        <v>995000000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0.04160117304154043</v>
      </c>
      <c r="C5" s="5">
        <v>0.03331397723356555</v>
      </c>
      <c r="D5" s="5">
        <v>0.03227473007936986</v>
      </c>
      <c r="E5" s="5">
        <v>0.03123548292517416</v>
      </c>
      <c r="F5" s="5">
        <v>0.03019623577097847</v>
      </c>
      <c r="G5" s="5">
        <v>0.029156988616782776</v>
      </c>
      <c r="H5" s="5">
        <v>0.02811774146258708</v>
      </c>
      <c r="I5" s="5">
        <v>0.02707849430839139</v>
      </c>
      <c r="J5" s="5">
        <v>0.026039247154195696</v>
      </c>
      <c r="K5" s="5">
        <v>0.025</v>
      </c>
    </row>
    <row r="6" spans="1:11" x14ac:dyDescent="0.25">
      <c r="A6" t="s">
        <v>50</v>
      </c>
      <c r="B6" s="18">
        <f>Assumptions!B29*(1+B5)</f>
        <v>171534005980</v>
      </c>
      <c r="C6" s="18">
        <f>B6*(1+C5)</f>
        <v>177248485950.00003</v>
      </c>
      <c r="D6" s="18">
        <f>C6*(1+D5)</f>
        <v>182969132991.01324</v>
      </c>
      <c r="E6" s="18">
        <f>D6*(1+E5)</f>
        <v>188684262220.38797</v>
      </c>
      <c r="F6" s="18">
        <f>E6*(1+F5)</f>
        <v>194381816688.6679</v>
      </c>
      <c r="G6" s="18">
        <f>F6*(1+G5)</f>
        <v>200049405105.16898</v>
      </c>
      <c r="H6" s="18">
        <f>G6*(1+H5)</f>
        <v>205674342557.66046</v>
      </c>
      <c r="I6" s="18">
        <f>H6*(1+I5)</f>
        <v>211243694071.99023</v>
      </c>
      <c r="J6" s="18">
        <f>I6*(1+J5)</f>
        <v>216744320831.6961</v>
      </c>
      <c r="K6" s="18">
        <f>J6*(1+K5)</f>
        <v>222162928852.4885</v>
      </c>
    </row>
    <row r="7" spans="1:11" x14ac:dyDescent="0.25">
      <c r="A7" t="s">
        <v>4</v>
      </c>
      <c r="B7" s="9">
        <f>Assumptions!B7</f>
        <v>0.13914632802676088</v>
      </c>
      <c r="C7" s="9">
        <f>Assumptions!B7</f>
        <v>0.13914632802676088</v>
      </c>
      <c r="D7" s="9">
        <f>Assumptions!B7</f>
        <v>0.13914632802676088</v>
      </c>
      <c r="E7" s="9">
        <f>Assumptions!B7</f>
        <v>0.13914632802676088</v>
      </c>
      <c r="F7" s="9">
        <f>Assumptions!B7</f>
        <v>0.13914632802676088</v>
      </c>
      <c r="G7" s="9">
        <f>Assumptions!B7</f>
        <v>0.13914632802676088</v>
      </c>
      <c r="H7" s="9">
        <f>Assumptions!B7</f>
        <v>0.13914632802676088</v>
      </c>
      <c r="I7" s="9">
        <f>Assumptions!B7</f>
        <v>0.13914632802676088</v>
      </c>
      <c r="J7" s="9">
        <f>Assumptions!B7</f>
        <v>0.13914632802676088</v>
      </c>
      <c r="K7" s="9">
        <f>Assumptions!B7</f>
        <v>0.13914632802676088</v>
      </c>
    </row>
    <row r="8" spans="1:11" x14ac:dyDescent="0.25">
      <c r="A8" t="s">
        <v>51</v>
      </c>
      <c r="B8" s="18">
        <f>B6*B7</f>
        <v>23868327063.837444</v>
      </c>
      <c r="C8" s="18">
        <f>C6*C7</f>
        <v>24663475968.245422</v>
      </c>
      <c r="D8" s="18">
        <f>D6*D7</f>
        <v>25459482997.939568</v>
      </c>
      <c r="E8" s="18">
        <f>E6*E7</f>
        <v>26254722244.40547</v>
      </c>
      <c r="F8" s="18">
        <f>F6*F7</f>
        <v>27047516027.39909</v>
      </c>
      <c r="G8" s="18">
        <f>G6*G7</f>
        <v>27836140144.322216</v>
      </c>
      <c r="H8" s="18">
        <f>H6*H7</f>
        <v>28618829536.21661</v>
      </c>
      <c r="I8" s="18">
        <f>I6*I7</f>
        <v>29393784348.925877</v>
      </c>
      <c r="J8" s="18">
        <f>J6*J7</f>
        <v>30159176364.38469</v>
      </c>
      <c r="K8" s="18">
        <f>K6*K7</f>
        <v>30913155773.494305</v>
      </c>
    </row>
    <row r="9" spans="1:11" x14ac:dyDescent="0.25">
      <c r="A9" t="s">
        <v>52</v>
      </c>
      <c r="B9" s="18">
        <f>B8*(1-Assumptions!B8)</f>
        <v>18855978380.431583</v>
      </c>
      <c r="C9" s="18">
        <f>C8*(1-Assumptions!B8)</f>
        <v>19484146014.913883</v>
      </c>
      <c r="D9" s="18">
        <f>D8*(1-Assumptions!B8)</f>
        <v>20112991568.37226</v>
      </c>
      <c r="E9" s="18">
        <f>E8*(1-Assumptions!B8)</f>
        <v>20741230573.080322</v>
      </c>
      <c r="F9" s="18">
        <f>F8*(1-Assumptions!B8)</f>
        <v>21367537661.645283</v>
      </c>
      <c r="G9" s="18">
        <f>G8*(1-Assumptions!B8)</f>
        <v>21990550714.014553</v>
      </c>
      <c r="H9" s="18">
        <f>H8*(1-Assumptions!B8)</f>
        <v>22608875333.611122</v>
      </c>
      <c r="I9" s="18">
        <f>I8*(1-Assumptions!B8)</f>
        <v>23221089635.651443</v>
      </c>
      <c r="J9" s="18">
        <f>J8*(1-Assumptions!B8)</f>
        <v>23825749327.863907</v>
      </c>
      <c r="K9" s="18">
        <f>K8*(1-Assumptions!B8)</f>
        <v>24421393061.0605</v>
      </c>
    </row>
    <row r="10" spans="1:11" x14ac:dyDescent="0.25">
      <c r="A10" t="s">
        <v>53</v>
      </c>
      <c r="B10" s="18">
        <f>B6*Assumptions!B9</f>
        <v>3806788349.161221</v>
      </c>
      <c r="C10" s="18">
        <f>C6*Assumptions!B9</f>
        <v>3933607609.558181</v>
      </c>
      <c r="D10" s="18">
        <f>D6*Assumptions!B9</f>
        <v>4060563733.3948264</v>
      </c>
      <c r="E10" s="18">
        <f>E6*Assumptions!B9</f>
        <v>4187397402.555862</v>
      </c>
      <c r="F10" s="18">
        <f>F6*Assumptions!B9</f>
        <v>4313841041.790221</v>
      </c>
      <c r="G10" s="18">
        <f>G6*Assumptions!B9</f>
        <v>4439619655.94031</v>
      </c>
      <c r="H10" s="18">
        <f>H6*Assumptions!B9</f>
        <v>4564451733.618258</v>
      </c>
      <c r="I10" s="18">
        <f>I6*Assumptions!B9</f>
        <v>4688050213.9079685</v>
      </c>
      <c r="J10" s="18">
        <f>J6*Assumptions!B9</f>
        <v>4810123512.099198</v>
      </c>
      <c r="K10" s="18">
        <f>K6*Assumptions!B9</f>
        <v>4930376599.901678</v>
      </c>
    </row>
    <row r="11" spans="1:11" x14ac:dyDescent="0.25">
      <c r="A11" t="s">
        <v>54</v>
      </c>
      <c r="B11" s="18">
        <f>-B6*B19</f>
        <v>-3650825201.303127</v>
      </c>
      <c r="C11" s="18">
        <f>-C6*C19</f>
        <v>-3913368392.3100514</v>
      </c>
      <c r="D11" s="18">
        <f>-D6*D19</f>
        <v>-4185139128.9835196</v>
      </c>
      <c r="E11" s="18">
        <f>-E6*E19</f>
        <v>-4465875556.757995</v>
      </c>
      <c r="F11" s="18">
        <f>-F6*F19</f>
        <v>-4755269559.183719</v>
      </c>
      <c r="G11" s="18">
        <f>-G6*G19</f>
        <v>-5052966231.781193</v>
      </c>
      <c r="H11" s="18">
        <f>-H6*H19</f>
        <v>-5358563613.863068</v>
      </c>
      <c r="I11" s="18">
        <f>-I6*I19</f>
        <v>-5671612690.8474865</v>
      </c>
      <c r="J11" s="18">
        <f>-J6*J19</f>
        <v>-5991617677.893238</v>
      </c>
      <c r="K11" s="18">
        <f>-K6*K19</f>
        <v>-6318036593.827116</v>
      </c>
    </row>
    <row r="12" spans="1:11" x14ac:dyDescent="0.25">
      <c r="A12" t="s">
        <v>55</v>
      </c>
      <c r="B12" s="18">
        <f>-(B6-Assumptions!B29)*Assumptions!B11</f>
        <v>-693955379.1258436</v>
      </c>
      <c r="C12" s="18">
        <f>-(C6-B6)*Assumptions!B11</f>
        <v>-578833842.1634848</v>
      </c>
      <c r="D12" s="18">
        <f>-(D6-C6)*Assumptions!B11</f>
        <v>-579458520.0743703</v>
      </c>
      <c r="E12" s="18">
        <f>-(E6-D6)*Assumptions!B11</f>
        <v>-578899607.2550397</v>
      </c>
      <c r="F12" s="18">
        <f>-(F6-E6)*Assumptions!B11</f>
        <v>-577119416.1365114</v>
      </c>
      <c r="G12" s="18">
        <f>-(G6-F6)*Assumptions!B11</f>
        <v>-574084080.467003</v>
      </c>
      <c r="H12" s="18">
        <f>-(H6-G6)*Assumptions!B11</f>
        <v>-569763858.592178</v>
      </c>
      <c r="I12" s="18">
        <f>-(I6-H6)*Assumptions!B11</f>
        <v>-564133421.1201212</v>
      </c>
      <c r="J12" s="18">
        <f>-(J6-I6)*Assumptions!B11</f>
        <v>-557172120.3579286</v>
      </c>
      <c r="K12" s="18">
        <f>-(K6-J6)*Assumptions!B11</f>
        <v>-548864238.9717078</v>
      </c>
    </row>
    <row r="13" spans="1:11" x14ac:dyDescent="0.25">
      <c r="A13" s="19" t="s">
        <v>56</v>
      </c>
      <c r="B13" s="20">
        <f>B9+B10+B11+B12</f>
        <v>18317986149.163834</v>
      </c>
      <c r="C13" s="20">
        <f>C9+C10+C11+C12</f>
        <v>18925551389.998528</v>
      </c>
      <c r="D13" s="20">
        <f>D9+D10+D11+D12</f>
        <v>19408957652.709194</v>
      </c>
      <c r="E13" s="20">
        <f>E9+E10+E11+E12</f>
        <v>19883852811.62315</v>
      </c>
      <c r="F13" s="20">
        <f>F9+F10+F11+F12</f>
        <v>20348989728.115273</v>
      </c>
      <c r="G13" s="20">
        <f>G9+G10+G11+G12</f>
        <v>20803120057.70667</v>
      </c>
      <c r="H13" s="20">
        <f>H9+H10+H11+H12</f>
        <v>21244999594.774136</v>
      </c>
      <c r="I13" s="20">
        <f>I9+I10+I11+I12</f>
        <v>21673393737.5918</v>
      </c>
      <c r="J13" s="20">
        <f>J9+J10+J11+J12</f>
        <v>22087083041.711937</v>
      </c>
      <c r="K13" s="20">
        <f>K9+K10+K11+K12</f>
        <v>22484868828.163357</v>
      </c>
    </row>
    <row r="14" spans="1:11" x14ac:dyDescent="0.25">
      <c r="A14" t="s">
        <v>57</v>
      </c>
      <c r="B14" s="21">
        <f>1/(1+Assumptions!$B$26)^(1-0.5*Assumptions!$B$32)</f>
        <v>0.9609099072745559</v>
      </c>
      <c r="C14" s="21">
        <f>1/(1+Assumptions!$B$26)^(2-0.5*Assumptions!$B$32)</f>
        <v>0.8872540968280278</v>
      </c>
      <c r="D14" s="21">
        <f>1/(1+Assumptions!$B$26)^(3-0.5*Assumptions!$B$32)</f>
        <v>0.8192441626197025</v>
      </c>
      <c r="E14" s="21">
        <f>1/(1+Assumptions!$B$26)^(4-0.5*Assumptions!$B$32)</f>
        <v>0.7564473360967137</v>
      </c>
      <c r="F14" s="21">
        <f>1/(1+Assumptions!$B$26)^(5-0.5*Assumptions!$B$32)</f>
        <v>0.6984640213462695</v>
      </c>
      <c r="G14" s="21">
        <f>1/(1+Assumptions!$B$26)^(6-0.5*Assumptions!$B$32)</f>
        <v>0.644925252341465</v>
      </c>
      <c r="H14" s="21">
        <f>1/(1+Assumptions!$B$26)^(7-0.5*Assumptions!$B$32)</f>
        <v>0.595490345094672</v>
      </c>
      <c r="I14" s="21">
        <f>1/(1+Assumptions!$B$26)^(8-0.5*Assumptions!$B$32)</f>
        <v>0.5498447297784189</v>
      </c>
      <c r="J14" s="21">
        <f>1/(1+Assumptions!$B$26)^(9-0.5*Assumptions!$B$32)</f>
        <v>0.5076979490188674</v>
      </c>
      <c r="K14" s="21">
        <f>1/(1+Assumptions!$B$26)^(10-0.5*Assumptions!$B$32)</f>
        <v>0.4687818096243965</v>
      </c>
    </row>
    <row r="15" spans="1:11" x14ac:dyDescent="0.25">
      <c r="A15" s="19" t="s">
        <v>58</v>
      </c>
      <c r="B15" s="20">
        <f>B13*B14</f>
        <v>17601934372.049618</v>
      </c>
      <c r="C15" s="20">
        <f>C13*C14</f>
        <v>16791773005.50557</v>
      </c>
      <c r="D15" s="20">
        <f>D13*D14</f>
        <v>15900675259.515009</v>
      </c>
      <c r="E15" s="20">
        <f>E13*E14</f>
        <v>15041087490.691483</v>
      </c>
      <c r="F15" s="20">
        <f>F13*F14</f>
        <v>14213037195.833324</v>
      </c>
      <c r="G15" s="20">
        <f>G13*G14</f>
        <v>13416457452.706266</v>
      </c>
      <c r="H15" s="20">
        <f>H13*H14</f>
        <v>12651192140.228218</v>
      </c>
      <c r="I15" s="20">
        <f>I13*I14</f>
        <v>11917001323.027441</v>
      </c>
      <c r="J15" s="20">
        <f>J13*J14</f>
        <v>11213566760.08656</v>
      </c>
      <c r="K15" s="20">
        <f>K13*K14</f>
        <v>10540497498.433601</v>
      </c>
    </row>
    <row r="17" spans="1:2" x14ac:dyDescent="0.25">
      <c r="A17" s="22" t="s">
        <v>59</v>
      </c>
      <c r="B17" s="23">
        <f>SUM(B15:K15)</f>
        <v>139287222498.0771</v>
      </c>
    </row>
    <row r="19" spans="1:11" x14ac:dyDescent="0.25">
      <c r="A19" t="s">
        <v>7</v>
      </c>
      <c r="B19" s="9">
        <f>Assumptions!$B$10+($B$20-Assumptions!$B$10)*0/9</f>
        <v>0.02128339031345653</v>
      </c>
      <c r="C19" s="9">
        <f>Assumptions!$B$10+($B$20-Assumptions!$B$10)*1/9</f>
        <v>0.022078430579169923</v>
      </c>
      <c r="D19" s="9">
        <f>Assumptions!$B$10+($B$20-Assumptions!$B$10)*2/9</f>
        <v>0.022873470844883316</v>
      </c>
      <c r="E19" s="9">
        <f>Assumptions!$B$10+($B$20-Assumptions!$B$10)*3/9</f>
        <v>0.023668511110596705</v>
      </c>
      <c r="F19" s="9">
        <f>Assumptions!$B$10+($B$20-Assumptions!$B$10)*4/9</f>
        <v>0.024463551376310098</v>
      </c>
      <c r="G19" s="9">
        <f>Assumptions!$B$10+($B$20-Assumptions!$B$10)*5/9</f>
        <v>0.02525859164202349</v>
      </c>
      <c r="H19" s="9">
        <f>Assumptions!$B$10+($B$20-Assumptions!$B$10)*6/9</f>
        <v>0.02605363190773688</v>
      </c>
      <c r="I19" s="9">
        <f>Assumptions!$B$10+($B$20-Assumptions!$B$10)*7/9</f>
        <v>0.026848672173450272</v>
      </c>
      <c r="J19" s="9">
        <f>Assumptions!$B$10+($B$20-Assumptions!$B$10)*8/9</f>
        <v>0.027643712439163665</v>
      </c>
      <c r="K19" s="9">
        <f>Assumptions!$B$10+($B$20-Assumptions!$B$10)*9/9</f>
        <v>0.028438752704877057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0.028438752704877057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22484868828.163357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24803376476.513096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0.0754406685878752</v>
      </c>
    </row>
    <row r="7" spans="1:2" x14ac:dyDescent="0.25">
      <c r="A7" t="s">
        <v>66</v>
      </c>
      <c r="B7" s="18">
        <f>-MAX(B5,0)*B6</f>
        <v>-1871183304.624924</v>
      </c>
    </row>
    <row r="8" spans="1:2" x14ac:dyDescent="0.25">
      <c r="A8" t="s">
        <v>67</v>
      </c>
      <c r="B8" s="18">
        <f>IF(OR(Assumptions!$B$33=0,Assumptions!B12&lt;=0),B5,MAX(B5+B7,0))</f>
        <v>22932193171.888172</v>
      </c>
    </row>
    <row r="9" spans="1:2" x14ac:dyDescent="0.25">
      <c r="A9" t="s">
        <v>68</v>
      </c>
      <c r="B9" s="18">
        <f>B8*(1+Assumptions!B12)/(Assumptions!B26-Assumptions!B12)</f>
        <v>405159183785.2974</v>
      </c>
    </row>
    <row r="10" spans="1:2" x14ac:dyDescent="0.25">
      <c r="A10" t="s">
        <v>69</v>
      </c>
      <c r="B10" s="18">
        <f>B9/(1+Assumptions!B26)^(10-0.5*Assumptions!B32)</f>
        <v>189931255360.81516</v>
      </c>
    </row>
    <row r="11" spans="1:2" x14ac:dyDescent="0.25">
      <c r="A11" t="s">
        <v>70</v>
      </c>
      <c r="B11" s="18">
        <f>Forecast!B17+B10</f>
        <v>329218477858.8922</v>
      </c>
    </row>
    <row r="12" spans="1:2" x14ac:dyDescent="0.25">
      <c r="A12" t="s">
        <v>71</v>
      </c>
      <c r="B12" s="18">
        <f>-Assumptions!B30</f>
        <v>-63961000000</v>
      </c>
    </row>
    <row r="13" spans="1:2" x14ac:dyDescent="0.25">
      <c r="A13" t="s">
        <v>72</v>
      </c>
      <c r="B13" s="18">
        <f>B11+B12</f>
        <v>265257477858.8922</v>
      </c>
    </row>
    <row r="14" spans="1:2" x14ac:dyDescent="0.25">
      <c r="A14" s="19" t="s">
        <v>73</v>
      </c>
      <c r="B14" s="24">
        <f>B13/Assumptions!B31</f>
        <v>266.5904300089369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35843532373.39598</v>
      </c>
    </row>
    <row r="18" spans="1:2" x14ac:dyDescent="0.25">
      <c r="A18" t="s">
        <v>68</v>
      </c>
      <c r="B18" s="18">
        <f>B17*Assumptions!B13</f>
        <v>562353266878.7633</v>
      </c>
    </row>
    <row r="19" spans="1:2" x14ac:dyDescent="0.25">
      <c r="A19" t="s">
        <v>69</v>
      </c>
      <c r="B19" s="18">
        <f>B18/(1+Assumptions!B26)^(10-0.5*Assumptions!B32)</f>
        <v>263620982095.61783</v>
      </c>
    </row>
    <row r="20" spans="1:2" x14ac:dyDescent="0.25">
      <c r="A20" t="s">
        <v>70</v>
      </c>
      <c r="B20" s="18">
        <f>Forecast!B17+B19</f>
        <v>402908204593.69495</v>
      </c>
    </row>
    <row r="21" spans="1:2" x14ac:dyDescent="0.25">
      <c r="A21" t="s">
        <v>71</v>
      </c>
      <c r="B21" s="18">
        <f>-Assumptions!B30</f>
        <v>-63961000000</v>
      </c>
    </row>
    <row r="22" spans="1:2" x14ac:dyDescent="0.25">
      <c r="A22" t="s">
        <v>72</v>
      </c>
      <c r="B22" s="18">
        <f>B20+B21</f>
        <v>338947204593.69495</v>
      </c>
    </row>
    <row r="23" spans="1:2" x14ac:dyDescent="0.25">
      <c r="A23" s="19" t="s">
        <v>73</v>
      </c>
      <c r="B23" s="25">
        <f>B22/Assumptions!B31</f>
        <v>340.6504568780854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329.2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266.5904300089369</v>
      </c>
    </row>
    <row r="29" spans="1:2" x14ac:dyDescent="0.25">
      <c r="A29" s="19" t="s">
        <v>81</v>
      </c>
      <c r="B29" s="11">
        <f>B28/B26-1</f>
        <v>-0.1901870291344565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0.063015</v>
      </c>
      <c r="B5" s="31">
        <v>372.10985465447243</v>
      </c>
      <c r="C5" s="31">
        <v>400.235048087946</v>
      </c>
      <c r="D5" s="31">
        <v>436.0077952713681</v>
      </c>
      <c r="E5" s="31">
        <v>482.9026776449705</v>
      </c>
      <c r="F5" s="31">
        <v>546.8747916875217</v>
      </c>
    </row>
    <row r="6" spans="1:6" x14ac:dyDescent="0.25">
      <c r="A6" s="30">
        <v>0.073015</v>
      </c>
      <c r="B6" s="31">
        <v>297.118851182996</v>
      </c>
      <c r="C6" s="31">
        <v>313.5809279160072</v>
      </c>
      <c r="D6" s="31">
        <v>333.65795379455255</v>
      </c>
      <c r="E6" s="31">
        <v>358.61051784997045</v>
      </c>
      <c r="F6" s="31">
        <v>390.36241523294035</v>
      </c>
    </row>
    <row r="7" spans="1:6" x14ac:dyDescent="0.25">
      <c r="A7" s="30">
        <v>0.083015</v>
      </c>
      <c r="B7" s="31">
        <v>244.2476014693908</v>
      </c>
      <c r="C7" s="31">
        <v>254.46660132958996</v>
      </c>
      <c r="D7" s="32">
        <v>266.59300487072585</v>
      </c>
      <c r="E7" s="31">
        <v>281.16649058405636</v>
      </c>
      <c r="F7" s="31">
        <v>298.95153275018</v>
      </c>
    </row>
    <row r="8" spans="1:6" x14ac:dyDescent="0.25">
      <c r="A8" s="30">
        <v>0.093015</v>
      </c>
      <c r="B8" s="31">
        <v>204.98478771375798</v>
      </c>
      <c r="C8" s="31">
        <v>211.57333874565975</v>
      </c>
      <c r="D8" s="31">
        <v>219.24846594296054</v>
      </c>
      <c r="E8" s="31">
        <v>228.26881633384397</v>
      </c>
      <c r="F8" s="31">
        <v>238.98220251684032</v>
      </c>
    </row>
    <row r="9" spans="1:6" x14ac:dyDescent="0.25">
      <c r="A9" s="30">
        <v>0.103015</v>
      </c>
      <c r="B9" s="31">
        <v>174.68767504246617</v>
      </c>
      <c r="C9" s="31">
        <v>179.03654084915206</v>
      </c>
      <c r="D9" s="31">
        <v>184.04024067867124</v>
      </c>
      <c r="E9" s="31">
        <v>189.83330182462785</v>
      </c>
      <c r="F9" s="31">
        <v>196.58980970562885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164683000000</v>
      </c>
      <c r="C5" s="18">
        <v>159514000000</v>
      </c>
      <c r="D5" s="18">
        <v>152669000000</v>
      </c>
      <c r="E5" s="18">
        <v>157403000000</v>
      </c>
      <c r="F5" s="6" t="s">
        <v>91</v>
      </c>
    </row>
    <row r="6" spans="1:6" x14ac:dyDescent="0.25">
      <c r="A6" t="s">
        <v>51</v>
      </c>
      <c r="B6" s="18">
        <v>20890000000</v>
      </c>
      <c r="C6" s="18">
        <v>21526000000</v>
      </c>
      <c r="D6" s="18">
        <v>21689000000</v>
      </c>
      <c r="E6" s="18">
        <v>24039000000</v>
      </c>
      <c r="F6" s="6" t="s">
        <v>92</v>
      </c>
    </row>
    <row r="7" spans="1:6" x14ac:dyDescent="0.25">
      <c r="A7" t="s">
        <v>93</v>
      </c>
      <c r="B7" s="18">
        <v>4121000000</v>
      </c>
      <c r="C7" s="18">
        <v>3761000000</v>
      </c>
      <c r="D7" s="18">
        <v>3247000000</v>
      </c>
      <c r="E7" s="18">
        <v>2975000000</v>
      </c>
      <c r="F7" s="6" t="s">
        <v>94</v>
      </c>
    </row>
    <row r="8" spans="1:6" x14ac:dyDescent="0.25">
      <c r="A8" t="s">
        <v>95</v>
      </c>
      <c r="B8" s="18">
        <v>3679000000</v>
      </c>
      <c r="C8" s="18">
        <v>3485000000</v>
      </c>
      <c r="D8" s="18">
        <v>3226000000</v>
      </c>
      <c r="E8" s="18">
        <v>3119000000</v>
      </c>
      <c r="F8" s="6" t="s">
        <v>96</v>
      </c>
    </row>
    <row r="9" spans="1:6" x14ac:dyDescent="0.25">
      <c r="A9" t="s">
        <v>97</v>
      </c>
      <c r="B9" s="18">
        <v>2666000000</v>
      </c>
      <c r="C9" s="18">
        <v>-694000000</v>
      </c>
      <c r="D9" s="18">
        <v>-2088000000</v>
      </c>
      <c r="E9" s="18">
        <v>6102000000</v>
      </c>
      <c r="F9" s="6" t="s">
        <v>98</v>
      </c>
    </row>
    <row r="10" spans="1:6" x14ac:dyDescent="0.25">
      <c r="A10" t="s">
        <v>99</v>
      </c>
      <c r="B10" s="18">
        <v>65350000000</v>
      </c>
      <c r="C10" s="18">
        <v>62290000000</v>
      </c>
      <c r="D10" s="18">
        <v>52243000000</v>
      </c>
      <c r="E10" s="18">
        <v>50364000000</v>
      </c>
      <c r="F10" s="6" t="s">
        <v>100</v>
      </c>
    </row>
    <row r="11" spans="1:6" x14ac:dyDescent="0.25">
      <c r="A11" t="s">
        <v>101</v>
      </c>
      <c r="B11" s="18">
        <v>1389000000</v>
      </c>
      <c r="C11" s="18">
        <v>1659000000</v>
      </c>
      <c r="D11" s="18">
        <v>3760000000</v>
      </c>
      <c r="E11" s="18">
        <v>2757000000</v>
      </c>
      <c r="F11" s="6" t="s">
        <v>102</v>
      </c>
    </row>
    <row r="12" spans="1:6" x14ac:dyDescent="0.25">
      <c r="A12" t="s">
        <v>34</v>
      </c>
      <c r="B12" s="34">
        <v>995000000</v>
      </c>
      <c r="C12" s="34">
        <v>993000000</v>
      </c>
      <c r="D12" s="34">
        <v>1002000000</v>
      </c>
      <c r="E12" s="34">
        <v>1025000000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