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<sst xmlns="http://schemas.openxmlformats.org/spreadsheetml/2006/main" count="112" uniqueCount="100">
  <si>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Heidelberg Materials AG (HEI.DE)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</si>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</sst>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0.005736145974806872</v>
      </c>
    </row>
    <row r="7" spans="1:2" x14ac:dyDescent="0.25">
      <c r="A7" t="s">
        <v>5</v>
      </c>
      <c r="B7" s="6">
        <v>0.12600115434206494</v>
      </c>
    </row>
    <row r="8" spans="1:2" x14ac:dyDescent="0.25">
      <c r="A8" t="s">
        <v>6</v>
      </c>
      <c r="B8" s="6">
        <v>0.24393553034299853</v>
      </c>
    </row>
    <row r="9" spans="1:2" x14ac:dyDescent="0.25">
      <c r="A9" t="s">
        <v>7</v>
      </c>
      <c r="B9" s="6">
        <v>0.06571249752997274</v>
      </c>
    </row>
    <row r="10" spans="1:2" x14ac:dyDescent="0.25">
      <c r="A10" t="s">
        <v>8</v>
      </c>
      <c r="B10" s="6">
        <v>0.06466273961463143</v>
      </c>
    </row>
    <row r="11" spans="1:2" x14ac:dyDescent="0.25">
      <c r="A11" t="s">
        <v>9</v>
      </c>
      <c r="B11" s="6">
        <v>0.29427254772876893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6.9284769694793535</v>
      </c>
    </row>
    <row r="14" spans="1:3" x14ac:dyDescent="0.25">
      <c r="A14" t="s">
        <v>12</v>
      </c>
      <c r="B14" s="6">
        <v>0.08373756679943944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0.93836</v>
      </c>
      <c r="C19" s="8" t="s">
        <v>19</v>
      </c>
    </row>
    <row r="20" spans="1:2" x14ac:dyDescent="0.25">
      <c r="A20" t="s">
        <v>20</v>
      </c>
      <c r="B20" s="10">
        <f>B17+B19*B18</f>
        <v>0.08230159999999999</v>
      </c>
    </row>
    <row r="21" spans="1:3" x14ac:dyDescent="0.25">
      <c r="A21" t="s">
        <v>21</v>
      </c>
      <c r="B21" s="6">
        <v>0.03518561669875765</v>
      </c>
      <c r="C21" s="8" t="s">
        <v>22</v>
      </c>
    </row>
    <row r="22" spans="1:2" x14ac:dyDescent="0.25">
      <c r="A22" t="s">
        <v>23</v>
      </c>
      <c r="B22" s="11">
        <v>25297893376</v>
      </c>
    </row>
    <row r="23" spans="1:2" x14ac:dyDescent="0.25">
      <c r="A23" t="s">
        <v>24</v>
      </c>
      <c r="B23" s="11">
        <v>8111900000</v>
      </c>
    </row>
    <row r="24" spans="1:2" x14ac:dyDescent="0.25">
      <c r="A24" t="s">
        <v>25</v>
      </c>
      <c r="B24" s="10">
        <f>B22/(B22+B23)</f>
        <v>0.7571999350996526</v>
      </c>
    </row>
    <row r="25" spans="1:2" x14ac:dyDescent="0.25">
      <c r="A25" t="s">
        <v>26</v>
      </c>
      <c r="B25" s="10">
        <f>1-B24</f>
        <v>0.24280006490034745</v>
      </c>
    </row>
    <row r="26" spans="1:2" x14ac:dyDescent="0.25">
      <c r="A26" t="s">
        <v>27</v>
      </c>
      <c r="B26" s="12">
        <f>B24*B20+B25*B21*(1-B8)</f>
        <v>0.06877787788101229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21460200000</v>
      </c>
      <c r="C29" s="8" t="s">
        <v>30</v>
      </c>
    </row>
    <row r="30" spans="1:2" x14ac:dyDescent="0.25">
      <c r="A30" t="s">
        <v>31</v>
      </c>
      <c r="B30" s="11">
        <v>5575400000</v>
      </c>
    </row>
    <row r="31" spans="1:2" x14ac:dyDescent="0.25">
      <c r="A31" t="s">
        <v>32</v>
      </c>
      <c r="B31" s="13">
        <v>177680000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0.005736145974806872</v>
      </c>
      <c r="C5" s="10">
        <f>Assumptions!B6</f>
        <v>0.005736145974806872</v>
      </c>
      <c r="D5" s="10">
        <f>Assumptions!B6</f>
        <v>0.005736145974806872</v>
      </c>
      <c r="E5" s="10">
        <f>Assumptions!B6</f>
        <v>0.005736145974806872</v>
      </c>
      <c r="F5" s="10">
        <f>Assumptions!B6</f>
        <v>0.005736145974806872</v>
      </c>
    </row>
    <row r="6" spans="1:6" x14ac:dyDescent="0.25">
      <c r="A6" t="s">
        <v>43</v>
      </c>
      <c r="B6" s="18">
        <f>Assumptions!B29*(1+B5)</f>
        <v>21583298839.84855</v>
      </c>
      <c r="C6" s="18">
        <f>B6*(1+C5)</f>
        <v>21707103792.6118</v>
      </c>
      <c r="D6" s="18">
        <f>C6*(1+D5)</f>
        <v>21831618908.656506</v>
      </c>
      <c r="E6" s="18">
        <f>D6*(1+E5)</f>
        <v>21956848261.582912</v>
      </c>
      <c r="F6" s="18">
        <f>E6*(1+F5)</f>
        <v>22082795948.358036</v>
      </c>
    </row>
    <row r="7" spans="1:6" x14ac:dyDescent="0.25">
      <c r="A7" t="s">
        <v>5</v>
      </c>
      <c r="B7" s="10">
        <f>Assumptions!B7</f>
        <v>0.12600115434206494</v>
      </c>
      <c r="C7" s="10">
        <f>Assumptions!B7</f>
        <v>0.12600115434206494</v>
      </c>
      <c r="D7" s="10">
        <f>Assumptions!B7</f>
        <v>0.12600115434206494</v>
      </c>
      <c r="E7" s="10">
        <f>Assumptions!B7</f>
        <v>0.12600115434206494</v>
      </c>
      <c r="F7" s="10">
        <f>Assumptions!B7</f>
        <v>0.12600115434206494</v>
      </c>
    </row>
    <row r="8" spans="1:6" x14ac:dyDescent="0.25">
      <c r="A8" t="s">
        <v>44</v>
      </c>
      <c r="B8" s="18">
        <f>B6*B7</f>
        <v>2719520568.330668</v>
      </c>
      <c r="C8" s="18">
        <f>C6*C7</f>
        <v>2735120135.292103</v>
      </c>
      <c r="D8" s="18">
        <f>D6*D7</f>
        <v>2750809183.6467714</v>
      </c>
      <c r="E8" s="18">
        <f>E6*E7</f>
        <v>2766588226.673009</v>
      </c>
      <c r="F8" s="18">
        <f>F6*F7</f>
        <v>2782457780.593387</v>
      </c>
    </row>
    <row r="9" spans="1:6" x14ac:dyDescent="0.25">
      <c r="A9" t="s">
        <v>45</v>
      </c>
      <c r="B9" s="18">
        <f>B8*(1-Assumptions!B8)</f>
        <v>2056132876.2162337</v>
      </c>
      <c r="C9" s="18">
        <f>C8*(1-Assumptions!B8)</f>
        <v>2067927154.5378098</v>
      </c>
      <c r="D9" s="18">
        <f>D8*(1-Assumptions!B8)</f>
        <v>2079789086.5615053</v>
      </c>
      <c r="E9" s="18">
        <f>E8*(1-Assumptions!B8)</f>
        <v>2091719060.3588326</v>
      </c>
      <c r="F9" s="18">
        <f>F8*(1-Assumptions!B8)</f>
        <v>2103717466.2273366</v>
      </c>
    </row>
    <row r="10" spans="1:6" x14ac:dyDescent="0.25">
      <c r="A10" t="s">
        <v>46</v>
      </c>
      <c r="B10" s="18">
        <f>B6*Assumptions!B9</f>
        <v>1418292471.7022114</v>
      </c>
      <c r="C10" s="18">
        <f>C6*Assumptions!B9</f>
        <v>1426428004.3548648</v>
      </c>
      <c r="D10" s="18">
        <f>D6*Assumptions!B9</f>
        <v>1434610203.6103969</v>
      </c>
      <c r="E10" s="18">
        <f>E6*Assumptions!B9</f>
        <v>1442839337.1552534</v>
      </c>
      <c r="F10" s="18">
        <f>F6*Assumptions!B9</f>
        <v>1451115674.2113695</v>
      </c>
    </row>
    <row r="11" spans="1:6" x14ac:dyDescent="0.25">
      <c r="A11" t="s">
        <v>47</v>
      </c>
      <c r="B11" s="18">
        <f>-B6*Assumptions!B10</f>
        <v>-1395635232.9059033</v>
      </c>
      <c r="C11" s="18">
        <f>-C6*Assumptions!B10</f>
        <v>-1403640800.329435</v>
      </c>
      <c r="D11" s="18">
        <f>-D6*Assumptions!B10</f>
        <v>-1411692288.8563194</v>
      </c>
      <c r="E11" s="18">
        <f>-E6*Assumptions!B10</f>
        <v>-1419789961.8967085</v>
      </c>
      <c r="F11" s="18">
        <f>-F6*Assumptions!B10</f>
        <v>-1427934084.3717136</v>
      </c>
    </row>
    <row r="12" spans="1:6" x14ac:dyDescent="0.25">
      <c r="A12" t="s">
        <v>48</v>
      </c>
      <c r="B12" s="18">
        <f>-(B6-Assumptions!B29)*Assumptions!B11</f>
        <v>-36224609.22468819</v>
      </c>
      <c r="C12" s="18">
        <f>-(C6-B6)*Assumptions!B11</f>
        <v>-36432398.871082135</v>
      </c>
      <c r="D12" s="18">
        <f>-(D6-C6)*Assumptions!B11</f>
        <v>-36641380.429218486</v>
      </c>
      <c r="E12" s="18">
        <f>-(E6-D6)*Assumptions!B11</f>
        <v>-36851560.73607891</v>
      </c>
      <c r="F12" s="18">
        <f>-(F6-E6)*Assumptions!B11</f>
        <v>-37062946.6678606</v>
      </c>
    </row>
    <row r="13" spans="1:6" x14ac:dyDescent="0.25">
      <c r="A13" s="19" t="s">
        <v>49</v>
      </c>
      <c r="B13" s="20">
        <f>B9+B10+B11+B12</f>
        <v>2042565505.7878535</v>
      </c>
      <c r="C13" s="20">
        <f>C9+C10+C11+C12</f>
        <v>2054281959.6921573</v>
      </c>
      <c r="D13" s="20">
        <f>D9+D10+D11+D12</f>
        <v>2066065620.8863642</v>
      </c>
      <c r="E13" s="20">
        <f>E9+E10+E11+E12</f>
        <v>2077916874.8812983</v>
      </c>
      <c r="F13" s="20">
        <f>F9+F10+F11+F12</f>
        <v>2089836109.3991323</v>
      </c>
    </row>
    <row r="14" spans="1:6" x14ac:dyDescent="0.25">
      <c r="A14" t="s">
        <v>50</v>
      </c>
      <c r="B14" s="21">
        <f>1/(1+Assumptions!$B$26)^(1-0.5*Assumptions!$B$32)</f>
        <v>0.9672890512375697</v>
      </c>
      <c r="C14" s="21">
        <f>1/(1+Assumptions!$B$26)^(2-0.5*Assumptions!$B$32)</f>
        <v>0.9050421713025564</v>
      </c>
      <c r="D14" s="21">
        <f>1/(1+Assumptions!$B$26)^(3-0.5*Assumptions!$B$32)</f>
        <v>0.846800995822366</v>
      </c>
      <c r="E14" s="21">
        <f>1/(1+Assumptions!$B$26)^(4-0.5*Assumptions!$B$32)</f>
        <v>0.7923077501391182</v>
      </c>
      <c r="F14" s="21">
        <f>1/(1+Assumptions!$B$26)^(5-0.5*Assumptions!$B$32)</f>
        <v>0.7413212478817104</v>
      </c>
    </row>
    <row r="15" spans="1:6" x14ac:dyDescent="0.25">
      <c r="A15" s="19" t="s">
        <v>51</v>
      </c>
      <c r="B15" s="20">
        <f>B13*B14</f>
        <v>1975751250.1841195</v>
      </c>
      <c r="C15" s="20">
        <f>C13*C14</f>
        <v>1859211805.2674606</v>
      </c>
      <c r="D15" s="20">
        <f>D13*D14</f>
        <v>1749546425.2009282</v>
      </c>
      <c r="E15" s="20">
        <f>E13*E14</f>
        <v>1646349644.1133091</v>
      </c>
      <c r="F15" s="20">
        <f>F13*F14</f>
        <v>1549239912.4880233</v>
      </c>
    </row>
    <row r="17" spans="1:2" x14ac:dyDescent="0.25">
      <c r="A17" s="22" t="s">
        <v>52</v>
      </c>
      <c r="B17" s="23">
        <f>SUM(B15:F15)</f>
        <v>8780099037.25384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2089836109.3991323</v>
      </c>
    </row>
    <row r="5" spans="1:2" x14ac:dyDescent="0.25">
      <c r="A5" t="s">
        <v>56</v>
      </c>
      <c r="B5" s="18">
        <f>IF(Assumptions!$B$33=0,B4,B4-Forecast!F11-Forecast!F10-Forecast!F12)</f>
        <v>2103717466.2273366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0.2985517845279373</v>
      </c>
    </row>
    <row r="7" spans="1:2" x14ac:dyDescent="0.25">
      <c r="A7" t="s">
        <v>58</v>
      </c>
      <c r="B7" s="18">
        <f>-MAX(Forecast!F9,0)*B6</f>
        <v>-628068603.684762</v>
      </c>
    </row>
    <row r="8" spans="1:2" x14ac:dyDescent="0.25">
      <c r="A8" t="s">
        <v>59</v>
      </c>
      <c r="B8" s="18">
        <f>IF(OR(Assumptions!$B$33=0,Assumptions!B12&lt;=0),B5,MAX(B5+B7,0))</f>
        <v>1475648862.5425746</v>
      </c>
    </row>
    <row r="9" spans="1:2" x14ac:dyDescent="0.25">
      <c r="A9" t="s">
        <v>60</v>
      </c>
      <c r="B9" s="18">
        <f>B8*(1+Assumptions!B12)/(Assumptions!B26-Assumptions!B12)</f>
        <v>34550329009.030624</v>
      </c>
    </row>
    <row r="10" spans="1:2" x14ac:dyDescent="0.25">
      <c r="A10" t="s">
        <v>61</v>
      </c>
      <c r="B10" s="18">
        <f>B9/(1+Assumptions!B26)^(5-0.5*Assumptions!B32)</f>
        <v>25612893015.698242</v>
      </c>
    </row>
    <row r="11" spans="1:2" x14ac:dyDescent="0.25">
      <c r="A11" t="s">
        <v>62</v>
      </c>
      <c r="B11" s="18">
        <f>Forecast!B17+B10</f>
        <v>34392992052.95208</v>
      </c>
    </row>
    <row r="12" spans="1:2" x14ac:dyDescent="0.25">
      <c r="A12" t="s">
        <v>63</v>
      </c>
      <c r="B12" s="18">
        <f>-Assumptions!B30</f>
        <v>-5575400000</v>
      </c>
    </row>
    <row r="13" spans="1:2" x14ac:dyDescent="0.25">
      <c r="A13" t="s">
        <v>64</v>
      </c>
      <c r="B13" s="18">
        <f>B11+B12</f>
        <v>28817592052.95208</v>
      </c>
    </row>
    <row r="14" spans="1:2" x14ac:dyDescent="0.25">
      <c r="A14" s="19" t="s">
        <v>65</v>
      </c>
      <c r="B14" s="24">
        <f>B13/Assumptions!B31</f>
        <v>162.1881587851873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4233573454.8047566</v>
      </c>
    </row>
    <row r="18" spans="1:2" x14ac:dyDescent="0.25">
      <c r="A18" t="s">
        <v>60</v>
      </c>
      <c r="B18" s="18">
        <f>B17*Assumptions!B13</f>
        <v>29332216180.213898</v>
      </c>
    </row>
    <row r="19" spans="1:2" x14ac:dyDescent="0.25">
      <c r="A19" t="s">
        <v>61</v>
      </c>
      <c r="B19" s="18">
        <f>B18/(1+Assumptions!B26)^(5-0.5*Assumptions!B32)</f>
        <v>21744595101.852264</v>
      </c>
    </row>
    <row r="20" spans="1:2" x14ac:dyDescent="0.25">
      <c r="A20" t="s">
        <v>62</v>
      </c>
      <c r="B20" s="18">
        <f>Forecast!B17+B19</f>
        <v>30524694139.106102</v>
      </c>
    </row>
    <row r="21" spans="1:2" x14ac:dyDescent="0.25">
      <c r="A21" t="s">
        <v>63</v>
      </c>
      <c r="B21" s="18">
        <f>-Assumptions!B30</f>
        <v>-5575400000</v>
      </c>
    </row>
    <row r="22" spans="1:2" x14ac:dyDescent="0.25">
      <c r="A22" t="s">
        <v>64</v>
      </c>
      <c r="B22" s="18">
        <f>B20+B21</f>
        <v>24949294139.106102</v>
      </c>
    </row>
    <row r="23" spans="1:2" x14ac:dyDescent="0.25">
      <c r="A23" s="19" t="s">
        <v>65</v>
      </c>
      <c r="B23" s="25">
        <f>B22/Assumptions!B31</f>
        <v>140.41700888735988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143.9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162.1881587851873</v>
      </c>
    </row>
    <row r="29" spans="1:2" x14ac:dyDescent="0.25">
      <c r="A29" s="19" t="s">
        <v>73</v>
      </c>
      <c r="B29" s="12">
        <f>B28/B26-1</f>
        <v>0.1270893591743385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0.048778</v>
      </c>
      <c r="B5" s="31">
        <v>256.0360933818693</v>
      </c>
      <c r="C5" s="31">
        <v>278.1284294138572</v>
      </c>
      <c r="D5" s="31">
        <v>309.27188338692525</v>
      </c>
      <c r="E5" s="31">
        <v>356.696552708476</v>
      </c>
      <c r="F5" s="31">
        <v>438.1276681977318</v>
      </c>
    </row>
    <row r="6" spans="1:6" x14ac:dyDescent="0.25">
      <c r="A6" s="30">
        <v>0.058778</v>
      </c>
      <c r="B6" s="31">
        <v>193.42338163503126</v>
      </c>
      <c r="C6" s="31">
        <v>202.4810471808003</v>
      </c>
      <c r="D6" s="31">
        <v>214.0583796958767</v>
      </c>
      <c r="E6" s="31">
        <v>229.46870896480476</v>
      </c>
      <c r="F6" s="31">
        <v>251.13002436044076</v>
      </c>
    </row>
    <row r="7" spans="1:6" x14ac:dyDescent="0.25">
      <c r="A7" s="30">
        <v>0.068778</v>
      </c>
      <c r="B7" s="31">
        <v>154.02111925782557</v>
      </c>
      <c r="C7" s="31">
        <v>157.7395589909844</v>
      </c>
      <c r="D7" s="32">
        <v>162.18766912424203</v>
      </c>
      <c r="E7" s="31">
        <v>167.64769876795714</v>
      </c>
      <c r="F7" s="31">
        <v>174.56901711677884</v>
      </c>
    </row>
    <row r="8" spans="1:6" x14ac:dyDescent="0.25">
      <c r="A8" s="30">
        <v>0.078778</v>
      </c>
      <c r="B8" s="31">
        <v>126.91505183705682</v>
      </c>
      <c r="C8" s="31">
        <v>128.1349198450554</v>
      </c>
      <c r="D8" s="31">
        <v>129.48816752561655</v>
      </c>
      <c r="E8" s="31">
        <v>131.01581121988676</v>
      </c>
      <c r="F8" s="31">
        <v>132.7776056038592</v>
      </c>
    </row>
    <row r="9" spans="1:6" x14ac:dyDescent="0.25">
      <c r="A9" s="30">
        <v>0.088778</v>
      </c>
      <c r="B9" s="31">
        <v>108.23785367027808</v>
      </c>
      <c r="C9" s="31">
        <v>108.69261811096386</v>
      </c>
      <c r="D9" s="31">
        <v>109.14738255164957</v>
      </c>
      <c r="E9" s="31">
        <v>109.60214699233536</v>
      </c>
      <c r="F9" s="31">
        <v>110.05691143302113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21460200000</v>
      </c>
      <c r="C5" s="18">
        <v>21156400000</v>
      </c>
      <c r="D5" s="18">
        <v>21177600000</v>
      </c>
      <c r="E5" s="18">
        <v>21095100000</v>
      </c>
      <c r="F5" s="8" t="s">
        <v>84</v>
      </c>
    </row>
    <row r="6" spans="1:6" x14ac:dyDescent="0.25">
      <c r="A6" t="s">
        <v>44</v>
      </c>
      <c r="B6" s="18">
        <v>3058700000</v>
      </c>
      <c r="C6" s="18">
        <v>2842900000</v>
      </c>
      <c r="D6" s="18">
        <v>2720400000</v>
      </c>
      <c r="E6" s="18">
        <v>2080900000</v>
      </c>
      <c r="F6" s="8" t="s">
        <v>85</v>
      </c>
    </row>
    <row r="7" spans="1:6" x14ac:dyDescent="0.25">
      <c r="A7" t="s">
        <v>86</v>
      </c>
      <c r="B7" s="18">
        <v>1397300000</v>
      </c>
      <c r="C7" s="18">
        <v>1545000000</v>
      </c>
      <c r="D7" s="18">
        <v>1233300000</v>
      </c>
      <c r="E7" s="18">
        <v>1402300000</v>
      </c>
      <c r="F7" s="8" t="s">
        <v>87</v>
      </c>
    </row>
    <row r="8" spans="1:6" x14ac:dyDescent="0.25">
      <c r="A8" t="s">
        <v>88</v>
      </c>
      <c r="B8" s="18">
        <v>1414600000</v>
      </c>
      <c r="C8" s="18">
        <v>1410100000</v>
      </c>
      <c r="D8" s="18">
        <v>1329700000</v>
      </c>
      <c r="E8" s="18">
        <v>1335200000</v>
      </c>
      <c r="F8" s="8" t="s">
        <v>89</v>
      </c>
    </row>
    <row r="9" spans="1:6" x14ac:dyDescent="0.25">
      <c r="A9" t="s">
        <v>90</v>
      </c>
      <c r="B9" s="18">
        <v>89400000</v>
      </c>
      <c r="C9" s="18">
        <v>110200000</v>
      </c>
      <c r="D9" s="18">
        <v>205000000</v>
      </c>
      <c r="E9" s="18">
        <v>804700000</v>
      </c>
      <c r="F9" s="8" t="s">
        <v>91</v>
      </c>
    </row>
    <row r="10" spans="1:6" x14ac:dyDescent="0.25">
      <c r="A10" t="s">
        <v>92</v>
      </c>
      <c r="B10" s="18">
        <v>8111900000</v>
      </c>
      <c r="C10" s="18">
        <v>8195900000</v>
      </c>
      <c r="D10" s="18">
        <v>8240300000</v>
      </c>
      <c r="E10" s="18">
        <v>6694200000</v>
      </c>
      <c r="F10" s="8" t="s">
        <v>93</v>
      </c>
    </row>
    <row r="11" spans="1:6" x14ac:dyDescent="0.25">
      <c r="A11" t="s">
        <v>94</v>
      </c>
      <c r="B11" s="18">
        <v>2536500000</v>
      </c>
      <c r="C11" s="18">
        <v>3120300000</v>
      </c>
      <c r="D11" s="18">
        <v>3203200000</v>
      </c>
      <c r="E11" s="18">
        <v>1399300000</v>
      </c>
      <c r="F11" s="8" t="s">
        <v>95</v>
      </c>
    </row>
    <row r="12" spans="1:6" x14ac:dyDescent="0.25">
      <c r="A12" t="s">
        <v>32</v>
      </c>
      <c r="B12" s="34">
        <v>177680000</v>
      </c>
      <c r="C12" s="34">
        <v>180581000</v>
      </c>
      <c r="D12" s="34">
        <v>185008000</v>
      </c>
      <c r="E12" s="34">
        <v>189028000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