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<sst xmlns="http://schemas.openxmlformats.org/spreadsheetml/2006/main" count="112" uniqueCount="100">
  <si>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Heineken N.V. (HEIA.AS)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</si>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</sst>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0.0003944727816875826</v>
      </c>
    </row>
    <row r="7" spans="1:2" x14ac:dyDescent="0.25">
      <c r="A7" t="s">
        <v>5</v>
      </c>
      <c r="B7" s="6">
        <v>0.12051787893325822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0.08297763044938618</v>
      </c>
    </row>
    <row r="10" spans="1:2" x14ac:dyDescent="0.25">
      <c r="A10" t="s">
        <v>8</v>
      </c>
      <c r="B10" s="6">
        <v>0.08109793283271738</v>
      </c>
    </row>
    <row r="11" spans="1:2" x14ac:dyDescent="0.25">
      <c r="A11" t="s">
        <v>9</v>
      </c>
      <c r="B11" s="6">
        <v>0.397940074906367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9.104670529920325</v>
      </c>
    </row>
    <row r="14" spans="1:3" x14ac:dyDescent="0.25">
      <c r="A14" t="s">
        <v>12</v>
      </c>
      <c r="B14" s="6">
        <v>0.08067942797203813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0.70587</v>
      </c>
      <c r="C19" s="8" t="s">
        <v>19</v>
      </c>
    </row>
    <row r="20" spans="1:2" x14ac:dyDescent="0.25">
      <c r="A20" t="s">
        <v>20</v>
      </c>
      <c r="B20" s="10">
        <f>B17+B19*B18</f>
        <v>0.08788155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39202451456</v>
      </c>
    </row>
    <row r="23" spans="1:2" x14ac:dyDescent="0.25">
      <c r="A23" t="s">
        <v>24</v>
      </c>
      <c r="B23" s="11">
        <v>19279000000</v>
      </c>
    </row>
    <row r="24" spans="1:2" x14ac:dyDescent="0.25">
      <c r="A24" t="s">
        <v>25</v>
      </c>
      <c r="B24" s="10">
        <f>B22/(B22+B23)</f>
        <v>0.6703399194100877</v>
      </c>
    </row>
    <row r="25" spans="1:2" x14ac:dyDescent="0.25">
      <c r="A25" t="s">
        <v>26</v>
      </c>
      <c r="B25" s="10">
        <f>1-B24</f>
        <v>0.32966008058991225</v>
      </c>
    </row>
    <row r="26" spans="1:2" x14ac:dyDescent="0.25">
      <c r="A26" t="s">
        <v>27</v>
      </c>
      <c r="B26" s="12">
        <f>B24*B20+B25*B21*(1-B8)</f>
        <v>0.06929480368321583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28753000000</v>
      </c>
      <c r="C29" s="8" t="s">
        <v>30</v>
      </c>
    </row>
    <row r="30" spans="1:2" x14ac:dyDescent="0.25">
      <c r="A30" t="s">
        <v>31</v>
      </c>
      <c r="B30" s="11">
        <v>14506000000</v>
      </c>
    </row>
    <row r="31" spans="1:2" x14ac:dyDescent="0.25">
      <c r="A31" t="s">
        <v>32</v>
      </c>
      <c r="B31" s="13">
        <v>557024742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0.0003944727816875826</v>
      </c>
      <c r="C5" s="10">
        <f>Assumptions!B6</f>
        <v>0.0003944727816875826</v>
      </c>
      <c r="D5" s="10">
        <f>Assumptions!B6</f>
        <v>0.0003944727816875826</v>
      </c>
      <c r="E5" s="10">
        <f>Assumptions!B6</f>
        <v>0.0003944727816875826</v>
      </c>
      <c r="F5" s="10">
        <f>Assumptions!B6</f>
        <v>0.0003944727816875826</v>
      </c>
    </row>
    <row r="6" spans="1:6" x14ac:dyDescent="0.25">
      <c r="A6" t="s">
        <v>43</v>
      </c>
      <c r="B6" s="18">
        <f>Assumptions!B29*(1+B5)</f>
        <v>28764342275.891865</v>
      </c>
      <c r="C6" s="18">
        <f>B6*(1+C5)</f>
        <v>28775689026.00285</v>
      </c>
      <c r="D6" s="18">
        <f>C6*(1+D5)</f>
        <v>28787040252.097916</v>
      </c>
      <c r="E6" s="18">
        <f>D6*(1+E5)</f>
        <v>28798395955.942715</v>
      </c>
      <c r="F6" s="18">
        <f>E6*(1+F5)</f>
        <v>28809756139.303596</v>
      </c>
    </row>
    <row r="7" spans="1:6" x14ac:dyDescent="0.25">
      <c r="A7" t="s">
        <v>5</v>
      </c>
      <c r="B7" s="10">
        <f>Assumptions!B7</f>
        <v>0.12051787893325822</v>
      </c>
      <c r="C7" s="10">
        <f>Assumptions!B7</f>
        <v>0.12051787893325822</v>
      </c>
      <c r="D7" s="10">
        <f>Assumptions!B7</f>
        <v>0.12051787893325822</v>
      </c>
      <c r="E7" s="10">
        <f>Assumptions!B7</f>
        <v>0.12051787893325822</v>
      </c>
      <c r="F7" s="10">
        <f>Assumptions!B7</f>
        <v>0.12051787893325822</v>
      </c>
    </row>
    <row r="8" spans="1:6" x14ac:dyDescent="0.25">
      <c r="A8" t="s">
        <v>44</v>
      </c>
      <c r="B8" s="18">
        <f>B6*B7</f>
        <v>3466617520.0007367</v>
      </c>
      <c r="C8" s="18">
        <f>C6*C7</f>
        <v>3467985006.2568984</v>
      </c>
      <c r="D8" s="18">
        <f>D6*D7</f>
        <v>3469353031.9491677</v>
      </c>
      <c r="E8" s="18">
        <f>E6*E7</f>
        <v>3470721597.290337</v>
      </c>
      <c r="F8" s="18">
        <f>F6*F7</f>
        <v>3472090702.4932833</v>
      </c>
    </row>
    <row r="9" spans="1:6" x14ac:dyDescent="0.25">
      <c r="A9" t="s">
        <v>45</v>
      </c>
      <c r="B9" s="18">
        <f>B8*(1-Assumptions!B8)</f>
        <v>2599963140.0005527</v>
      </c>
      <c r="C9" s="18">
        <f>C8*(1-Assumptions!B8)</f>
        <v>2600988754.6926737</v>
      </c>
      <c r="D9" s="18">
        <f>D8*(1-Assumptions!B8)</f>
        <v>2602014773.961876</v>
      </c>
      <c r="E9" s="18">
        <f>E8*(1-Assumptions!B8)</f>
        <v>2603041197.967753</v>
      </c>
      <c r="F9" s="18">
        <f>F8*(1-Assumptions!B8)</f>
        <v>2604068026.8699627</v>
      </c>
    </row>
    <row r="10" spans="1:6" x14ac:dyDescent="0.25">
      <c r="A10" t="s">
        <v>46</v>
      </c>
      <c r="B10" s="18">
        <f>B6*Assumptions!B9</f>
        <v>2386796963.4886107</v>
      </c>
      <c r="C10" s="18">
        <f>C6*Assumptions!B9</f>
        <v>2387738489.9261217</v>
      </c>
      <c r="D10" s="18">
        <f>D6*Assumptions!B9</f>
        <v>2388680387.7701855</v>
      </c>
      <c r="E10" s="18">
        <f>E6*Assumptions!B9</f>
        <v>2389622657.167312</v>
      </c>
      <c r="F10" s="18">
        <f>F6*Assumptions!B9</f>
        <v>2390565298.2640686</v>
      </c>
    </row>
    <row r="11" spans="1:6" x14ac:dyDescent="0.25">
      <c r="A11" t="s">
        <v>47</v>
      </c>
      <c r="B11" s="18">
        <f>-B6*Assumptions!B10</f>
        <v>-2332728697.8675714</v>
      </c>
      <c r="C11" s="18">
        <f>-C6*Assumptions!B10</f>
        <v>-2333648895.8459415</v>
      </c>
      <c r="D11" s="18">
        <f>-D6*Assumptions!B10</f>
        <v>-2334569456.8173685</v>
      </c>
      <c r="E11" s="18">
        <f>-E6*Assumptions!B10</f>
        <v>-2335490380.925042</v>
      </c>
      <c r="F11" s="18">
        <f>-F6*Assumptions!B10</f>
        <v>-2336411668.31221</v>
      </c>
    </row>
    <row r="12" spans="1:6" x14ac:dyDescent="0.25">
      <c r="A12" t="s">
        <v>48</v>
      </c>
      <c r="B12" s="18">
        <f>-(B6-Assumptions!B29)*Assumptions!B11</f>
        <v>-4513546.11801735</v>
      </c>
      <c r="C12" s="18">
        <f>-(C6-B6)*Assumptions!B11</f>
        <v>-4515326.589109121</v>
      </c>
      <c r="D12" s="18">
        <f>-(D6-C6)*Assumptions!B11</f>
        <v>-4517107.7625497</v>
      </c>
      <c r="E12" s="18">
        <f>-(E6-D6)*Assumptions!B11</f>
        <v>-4518889.638613851</v>
      </c>
      <c r="F12" s="18">
        <f>-(F6-E6)*Assumptions!B11</f>
        <v>-4520672.217579369</v>
      </c>
    </row>
    <row r="13" spans="1:6" x14ac:dyDescent="0.25">
      <c r="A13" s="19" t="s">
        <v>49</v>
      </c>
      <c r="B13" s="20">
        <f>B9+B10+B11+B12</f>
        <v>2649517859.503575</v>
      </c>
      <c r="C13" s="20">
        <f>C9+C10+C11+C12</f>
        <v>2650563022.183745</v>
      </c>
      <c r="D13" s="20">
        <f>D9+D10+D11+D12</f>
        <v>2651608597.152143</v>
      </c>
      <c r="E13" s="20">
        <f>E9+E10+E11+E12</f>
        <v>2652654584.571409</v>
      </c>
      <c r="F13" s="20">
        <f>F9+F10+F11+F12</f>
        <v>2653700984.604242</v>
      </c>
    </row>
    <row r="14" spans="1:6" x14ac:dyDescent="0.25">
      <c r="A14" t="s">
        <v>50</v>
      </c>
      <c r="B14" s="21">
        <f>1/(1+Assumptions!$B$26)^(1-0.5*Assumptions!$B$32)</f>
        <v>0.9670552162315306</v>
      </c>
      <c r="C14" s="21">
        <f>1/(1+Assumptions!$B$26)^(2-0.5*Assumptions!$B$32)</f>
        <v>0.9043859681170076</v>
      </c>
      <c r="D14" s="21">
        <f>1/(1+Assumptions!$B$26)^(3-0.5*Assumptions!$B$32)</f>
        <v>0.8457779510400918</v>
      </c>
      <c r="E14" s="21">
        <f>1/(1+Assumptions!$B$26)^(4-0.5*Assumptions!$B$32)</f>
        <v>0.7909679801368025</v>
      </c>
      <c r="F14" s="21">
        <f>1/(1+Assumptions!$B$26)^(5-0.5*Assumptions!$B$32)</f>
        <v>0.7397099260300257</v>
      </c>
    </row>
    <row r="15" spans="1:6" x14ac:dyDescent="0.25">
      <c r="A15" s="19" t="s">
        <v>51</v>
      </c>
      <c r="B15" s="20">
        <f>B13*B14</f>
        <v>2562230066.531532</v>
      </c>
      <c r="C15" s="20">
        <f>C13*C14</f>
        <v>2397132004.8727875</v>
      </c>
      <c r="D15" s="20">
        <f>D13*D14</f>
        <v>2242672086.2596316</v>
      </c>
      <c r="E15" s="20">
        <f>E13*E14</f>
        <v>2098164838.7590764</v>
      </c>
      <c r="F15" s="20">
        <f>F13*F14</f>
        <v>1962968959.0274103</v>
      </c>
    </row>
    <row r="17" spans="1:2" x14ac:dyDescent="0.25">
      <c r="A17" s="22" t="s">
        <v>52</v>
      </c>
      <c r="B17" s="23">
        <f>SUM(B15:F15)</f>
        <v>11263167955.45044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2653700984.604242</v>
      </c>
    </row>
    <row r="5" spans="1:2" x14ac:dyDescent="0.25">
      <c r="A5" t="s">
        <v>56</v>
      </c>
      <c r="B5" s="18">
        <f>IF(Assumptions!$B$33=0,B4,B4-Forecast!F11-Forecast!F10-Forecast!F12)</f>
        <v>3005968139.5350237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0.30986833482092235</v>
      </c>
    </row>
    <row r="7" spans="1:2" x14ac:dyDescent="0.25">
      <c r="A7" t="s">
        <v>58</v>
      </c>
      <c r="B7" s="18">
        <f>-MAX(Forecast!F9,0)*B6</f>
        <v>-931454341.9224638</v>
      </c>
    </row>
    <row r="8" spans="1:2" x14ac:dyDescent="0.25">
      <c r="A8" t="s">
        <v>59</v>
      </c>
      <c r="B8" s="18">
        <f>IF(OR(Assumptions!$B$33=0,Assumptions!B12&lt;=0),B5,MAX(B5+B7,0))</f>
        <v>2074513797.6125598</v>
      </c>
    </row>
    <row r="9" spans="1:2" x14ac:dyDescent="0.25">
      <c r="A9" t="s">
        <v>60</v>
      </c>
      <c r="B9" s="18">
        <f>B8*(1+Assumptions!B12)/(Assumptions!B26-Assumptions!B12)</f>
        <v>48005103663.17752</v>
      </c>
    </row>
    <row r="10" spans="1:2" x14ac:dyDescent="0.25">
      <c r="A10" t="s">
        <v>61</v>
      </c>
      <c r="B10" s="18">
        <f>B9/(1+Assumptions!B26)^(5-0.5*Assumptions!B32)</f>
        <v>35509851679.75276</v>
      </c>
    </row>
    <row r="11" spans="1:2" x14ac:dyDescent="0.25">
      <c r="A11" t="s">
        <v>62</v>
      </c>
      <c r="B11" s="18">
        <f>Forecast!B17+B10</f>
        <v>46773019635.2032</v>
      </c>
    </row>
    <row r="12" spans="1:2" x14ac:dyDescent="0.25">
      <c r="A12" t="s">
        <v>63</v>
      </c>
      <c r="B12" s="18">
        <f>-Assumptions!B30</f>
        <v>-14506000000</v>
      </c>
    </row>
    <row r="13" spans="1:2" x14ac:dyDescent="0.25">
      <c r="A13" t="s">
        <v>64</v>
      </c>
      <c r="B13" s="18">
        <f>B11+B12</f>
        <v>32267019635.2032</v>
      </c>
    </row>
    <row r="14" spans="1:2" x14ac:dyDescent="0.25">
      <c r="A14" s="19" t="s">
        <v>65</v>
      </c>
      <c r="B14" s="24">
        <f>B13/Assumptions!B31</f>
        <v>57.92744415508064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5862656000.757352</v>
      </c>
    </row>
    <row r="18" spans="1:2" x14ac:dyDescent="0.25">
      <c r="A18" t="s">
        <v>60</v>
      </c>
      <c r="B18" s="18">
        <f>B17*Assumptions!B13</f>
        <v>53377551317.15601</v>
      </c>
    </row>
    <row r="19" spans="1:2" x14ac:dyDescent="0.25">
      <c r="A19" t="s">
        <v>61</v>
      </c>
      <c r="B19" s="18">
        <f>B18/(1+Assumptions!B26)^(5-0.5*Assumptions!B32)</f>
        <v>39483904536.47738</v>
      </c>
    </row>
    <row r="20" spans="1:2" x14ac:dyDescent="0.25">
      <c r="A20" t="s">
        <v>62</v>
      </c>
      <c r="B20" s="18">
        <f>Forecast!B17+B19</f>
        <v>50747072491.92782</v>
      </c>
    </row>
    <row r="21" spans="1:2" x14ac:dyDescent="0.25">
      <c r="A21" t="s">
        <v>63</v>
      </c>
      <c r="B21" s="18">
        <f>-Assumptions!B30</f>
        <v>-14506000000</v>
      </c>
    </row>
    <row r="22" spans="1:2" x14ac:dyDescent="0.25">
      <c r="A22" t="s">
        <v>64</v>
      </c>
      <c r="B22" s="18">
        <f>B20+B21</f>
        <v>36241072491.92782</v>
      </c>
    </row>
    <row r="23" spans="1:2" x14ac:dyDescent="0.25">
      <c r="A23" s="19" t="s">
        <v>65</v>
      </c>
      <c r="B23" s="25">
        <f>B22/Assumptions!B31</f>
        <v>65.06187204863481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70.74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57.92744415508064</v>
      </c>
    </row>
    <row r="29" spans="1:2" x14ac:dyDescent="0.25">
      <c r="A29" s="19" t="s">
        <v>73</v>
      </c>
      <c r="B29" s="12">
        <f>B28/B26-1</f>
        <v>-0.18112179594174938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0.049295</v>
      </c>
      <c r="B5" s="31">
        <v>99.8161929796791</v>
      </c>
      <c r="C5" s="31">
        <v>108.91358076973746</v>
      </c>
      <c r="D5" s="31">
        <v>121.64466357838411</v>
      </c>
      <c r="E5" s="31">
        <v>140.83428853072013</v>
      </c>
      <c r="F5" s="31">
        <v>173.25951978591578</v>
      </c>
    </row>
    <row r="6" spans="1:6" x14ac:dyDescent="0.25">
      <c r="A6" s="30">
        <v>0.059295</v>
      </c>
      <c r="B6" s="31">
        <v>72.31528488144599</v>
      </c>
      <c r="C6" s="31">
        <v>75.9319971785504</v>
      </c>
      <c r="D6" s="31">
        <v>80.52804765079682</v>
      </c>
      <c r="E6" s="31">
        <v>86.60488953686529</v>
      </c>
      <c r="F6" s="31">
        <v>95.07677972942217</v>
      </c>
    </row>
    <row r="7" spans="1:6" x14ac:dyDescent="0.25">
      <c r="A7" s="30">
        <v>0.069295</v>
      </c>
      <c r="B7" s="31">
        <v>54.927932324878476</v>
      </c>
      <c r="C7" s="31">
        <v>56.3005057777377</v>
      </c>
      <c r="D7" s="32">
        <v>57.92710016194652</v>
      </c>
      <c r="E7" s="31">
        <v>59.9046823682098</v>
      </c>
      <c r="F7" s="31">
        <v>62.386767991536</v>
      </c>
    </row>
    <row r="8" spans="1:6" x14ac:dyDescent="0.25">
      <c r="A8" s="30">
        <v>0.079295</v>
      </c>
      <c r="B8" s="31">
        <v>42.93587727591659</v>
      </c>
      <c r="C8" s="31">
        <v>43.266098994657355</v>
      </c>
      <c r="D8" s="31">
        <v>43.61344615412819</v>
      </c>
      <c r="E8" s="31">
        <v>43.98312986318305</v>
      </c>
      <c r="F8" s="31">
        <v>44.38271414132205</v>
      </c>
    </row>
    <row r="9" spans="1:6" x14ac:dyDescent="0.25">
      <c r="A9" s="30">
        <v>0.089295</v>
      </c>
      <c r="B9" s="31">
        <v>35.06111384993523</v>
      </c>
      <c r="C9" s="31">
        <v>35.266749284827824</v>
      </c>
      <c r="D9" s="31">
        <v>35.472384719720395</v>
      </c>
      <c r="E9" s="31">
        <v>35.678020154613</v>
      </c>
      <c r="F9" s="31">
        <v>35.88365558950557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28753000000</v>
      </c>
      <c r="C5" s="18">
        <v>29821000000</v>
      </c>
      <c r="D5" s="18">
        <v>30362000000</v>
      </c>
      <c r="E5" s="18">
        <v>28719000000</v>
      </c>
      <c r="F5" s="8" t="s">
        <v>84</v>
      </c>
    </row>
    <row r="6" spans="1:6" x14ac:dyDescent="0.25">
      <c r="A6" t="s">
        <v>44</v>
      </c>
      <c r="B6" s="18">
        <v>3332000000</v>
      </c>
      <c r="C6" s="18">
        <v>3487000000</v>
      </c>
      <c r="D6" s="18">
        <v>3097000000</v>
      </c>
      <c r="E6" s="18">
        <v>4229000000</v>
      </c>
      <c r="F6" s="8" t="s">
        <v>85</v>
      </c>
    </row>
    <row r="7" spans="1:6" x14ac:dyDescent="0.25">
      <c r="A7" t="s">
        <v>86</v>
      </c>
      <c r="B7" s="18">
        <v>2567000000</v>
      </c>
      <c r="C7" s="18">
        <v>2549000000</v>
      </c>
      <c r="D7" s="18">
        <v>2876000000</v>
      </c>
      <c r="E7" s="18">
        <v>1793000000</v>
      </c>
      <c r="F7" s="8" t="s">
        <v>87</v>
      </c>
    </row>
    <row r="8" spans="1:6" x14ac:dyDescent="0.25">
      <c r="A8" t="s">
        <v>88</v>
      </c>
      <c r="B8" s="18">
        <v>2402000000</v>
      </c>
      <c r="C8" s="18">
        <v>2465000000</v>
      </c>
      <c r="D8" s="18">
        <v>2677000000</v>
      </c>
      <c r="E8" s="18">
        <v>2011000000</v>
      </c>
      <c r="F8" s="8" t="s">
        <v>89</v>
      </c>
    </row>
    <row r="9" spans="1:6" x14ac:dyDescent="0.25">
      <c r="A9" t="s">
        <v>90</v>
      </c>
      <c r="B9" s="18">
        <v>-425000000</v>
      </c>
      <c r="C9" s="18">
        <v>-845000000</v>
      </c>
      <c r="D9" s="18">
        <v>178000000</v>
      </c>
      <c r="E9" s="18">
        <v>687000000</v>
      </c>
      <c r="F9" s="8" t="s">
        <v>91</v>
      </c>
    </row>
    <row r="10" spans="1:6" x14ac:dyDescent="0.25">
      <c r="A10" t="s">
        <v>92</v>
      </c>
      <c r="B10" s="18">
        <v>19279000000</v>
      </c>
      <c r="C10" s="18">
        <v>17049000000</v>
      </c>
      <c r="D10" s="18">
        <v>18238000000</v>
      </c>
      <c r="E10" s="18">
        <v>16377000000</v>
      </c>
      <c r="F10" s="8" t="s">
        <v>93</v>
      </c>
    </row>
    <row r="11" spans="1:6" x14ac:dyDescent="0.25">
      <c r="A11" t="s">
        <v>94</v>
      </c>
      <c r="B11" s="18">
        <v>4773000000</v>
      </c>
      <c r="C11" s="18">
        <v>2350000000</v>
      </c>
      <c r="D11" s="18">
        <v>2377000000</v>
      </c>
      <c r="E11" s="18">
        <v>2765000000</v>
      </c>
      <c r="F11" s="8" t="s">
        <v>95</v>
      </c>
    </row>
    <row r="12" spans="1:6" x14ac:dyDescent="0.25">
      <c r="A12" t="s">
        <v>32</v>
      </c>
      <c r="B12" s="34">
        <v>557024742</v>
      </c>
      <c r="C12" s="34">
        <v>560639030</v>
      </c>
      <c r="D12" s="34">
        <v>563979620</v>
      </c>
      <c r="E12" s="34">
        <v>576026120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2026-09-19T01:05:45Z</dcterms:modified>
</cp:coreProperties>
</file>