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<sst xmlns="http://schemas.openxmlformats.org/spreadsheetml/2006/main" count="112" uniqueCount="100">
  <si>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Henkel AG &amp; Co. KGaA (HEN3.DE)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</si>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</sst>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-0.029148757226743816</v>
      </c>
    </row>
    <row r="7" spans="1:2" x14ac:dyDescent="0.25">
      <c r="A7" t="s">
        <v>5</v>
      </c>
      <c r="B7" s="6">
        <v>0.11177389899891073</v>
      </c>
    </row>
    <row r="8" spans="1:2" x14ac:dyDescent="0.25">
      <c r="A8" t="s">
        <v>6</v>
      </c>
      <c r="B8" s="6">
        <v>0.25595257120505177</v>
      </c>
    </row>
    <row r="9" spans="1:2" x14ac:dyDescent="0.25">
      <c r="A9" t="s">
        <v>7</v>
      </c>
      <c r="B9" s="6">
        <v>0.03827110086695943</v>
      </c>
    </row>
    <row r="10" spans="1:2" x14ac:dyDescent="0.25">
      <c r="A10" t="s">
        <v>8</v>
      </c>
      <c r="B10" s="6">
        <v>0.029387707715787546</v>
      </c>
    </row>
    <row r="11" spans="1:2" x14ac:dyDescent="0.25">
      <c r="A11" t="s">
        <v>9</v>
      </c>
      <c r="B11" s="6">
        <v>-0.24014665444546288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8.72925568632007</v>
      </c>
    </row>
    <row r="14" spans="1:3" x14ac:dyDescent="0.25">
      <c r="A14" t="s">
        <v>12</v>
      </c>
      <c r="B14" s="6">
        <v>0.07923402076477433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0.71458</v>
      </c>
      <c r="C19" s="8" t="s">
        <v>19</v>
      </c>
    </row>
    <row r="20" spans="1:2" x14ac:dyDescent="0.25">
      <c r="A20" t="s">
        <v>20</v>
      </c>
      <c r="B20" s="10">
        <f>B17+B19*B18</f>
        <v>0.0688748</v>
      </c>
    </row>
    <row r="21" spans="1:3" x14ac:dyDescent="0.25">
      <c r="A21" t="s">
        <v>21</v>
      </c>
      <c r="B21" s="6">
        <v>0.03185063152114223</v>
      </c>
      <c r="C21" s="8" t="s">
        <v>22</v>
      </c>
    </row>
    <row r="22" spans="1:2" x14ac:dyDescent="0.25">
      <c r="A22" t="s">
        <v>23</v>
      </c>
      <c r="B22" s="11">
        <v>29529827328</v>
      </c>
    </row>
    <row r="23" spans="1:2" x14ac:dyDescent="0.25">
      <c r="A23" t="s">
        <v>24</v>
      </c>
      <c r="B23" s="11">
        <v>3708000000</v>
      </c>
    </row>
    <row r="24" spans="1:2" x14ac:dyDescent="0.25">
      <c r="A24" t="s">
        <v>25</v>
      </c>
      <c r="B24" s="10">
        <f>B22/(B22+B23)</f>
        <v>0.8884403615372196</v>
      </c>
    </row>
    <row r="25" spans="1:2" x14ac:dyDescent="0.25">
      <c r="A25" t="s">
        <v>26</v>
      </c>
      <c r="B25" s="10">
        <f>1-B24</f>
        <v>0.11155963846278039</v>
      </c>
    </row>
    <row r="26" spans="1:2" x14ac:dyDescent="0.25">
      <c r="A26" t="s">
        <v>27</v>
      </c>
      <c r="B26" s="12">
        <f>B24*B20+B25*B21*(1-B8)</f>
        <v>0.06383493497228776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20495000000</v>
      </c>
      <c r="C29" s="8" t="s">
        <v>30</v>
      </c>
    </row>
    <row r="30" spans="1:2" x14ac:dyDescent="0.25">
      <c r="A30" t="s">
        <v>31</v>
      </c>
      <c r="B30" s="11">
        <v>525000000</v>
      </c>
    </row>
    <row r="31" spans="1:2" x14ac:dyDescent="0.25">
      <c r="A31" t="s">
        <v>32</v>
      </c>
      <c r="B31" s="13">
        <v>414407280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-0.029148757226743816</v>
      </c>
      <c r="C5" s="10">
        <f>Assumptions!B6</f>
        <v>-0.029148757226743816</v>
      </c>
      <c r="D5" s="10">
        <f>Assumptions!B6</f>
        <v>-0.029148757226743816</v>
      </c>
      <c r="E5" s="10">
        <f>Assumptions!B6</f>
        <v>-0.029148757226743816</v>
      </c>
      <c r="F5" s="10">
        <f>Assumptions!B6</f>
        <v>-0.029148757226743816</v>
      </c>
    </row>
    <row r="6" spans="1:6" x14ac:dyDescent="0.25">
      <c r="A6" t="s">
        <v>43</v>
      </c>
      <c r="B6" s="18">
        <f>Assumptions!B29*(1+B5)</f>
        <v>19897596220.637886</v>
      </c>
      <c r="C6" s="18">
        <f>B6*(1+C5)</f>
        <v>19317606019.006737</v>
      </c>
      <c r="D6" s="18">
        <f>C6*(1+D5)</f>
        <v>18754521810.956825</v>
      </c>
      <c r="E6" s="18">
        <f>D6*(1+E5)</f>
        <v>18207850807.785572</v>
      </c>
      <c r="F6" s="18">
        <f>E6*(1+F5)</f>
        <v>17677114584.96866</v>
      </c>
    </row>
    <row r="7" spans="1:6" x14ac:dyDescent="0.25">
      <c r="A7" t="s">
        <v>5</v>
      </c>
      <c r="B7" s="10">
        <f>Assumptions!B7</f>
        <v>0.11177389899891073</v>
      </c>
      <c r="C7" s="10">
        <f>Assumptions!B7</f>
        <v>0.11177389899891073</v>
      </c>
      <c r="D7" s="10">
        <f>Assumptions!B7</f>
        <v>0.11177389899891073</v>
      </c>
      <c r="E7" s="10">
        <f>Assumptions!B7</f>
        <v>0.11177389899891073</v>
      </c>
      <c r="F7" s="10">
        <f>Assumptions!B7</f>
        <v>0.11177389899891073</v>
      </c>
    </row>
    <row r="8" spans="1:6" x14ac:dyDescent="0.25">
      <c r="A8" t="s">
        <v>44</v>
      </c>
      <c r="B8" s="18">
        <f>B6*B7</f>
        <v>2224031910.286687</v>
      </c>
      <c r="C8" s="18">
        <f>C6*C7</f>
        <v>2159204144.069209</v>
      </c>
      <c r="D8" s="18">
        <f>D6*D7</f>
        <v>2096266026.6707566</v>
      </c>
      <c r="E8" s="18">
        <f>E6*E7</f>
        <v>2035162477.1766596</v>
      </c>
      <c r="F8" s="18">
        <f>F6*F7</f>
        <v>1975840020.2124586</v>
      </c>
    </row>
    <row r="9" spans="1:6" x14ac:dyDescent="0.25">
      <c r="A9" t="s">
        <v>45</v>
      </c>
      <c r="B9" s="18">
        <f>B8*(1-Assumptions!B8)</f>
        <v>1654785224.4067264</v>
      </c>
      <c r="C9" s="18">
        <f>C8*(1-Assumptions!B8)</f>
        <v>1606550291.638092</v>
      </c>
      <c r="D9" s="18">
        <f>D8*(1-Assumptions!B8)</f>
        <v>1559721347.2145789</v>
      </c>
      <c r="E9" s="18">
        <f>E8*(1-Assumptions!B8)</f>
        <v>1514257408.323251</v>
      </c>
      <c r="F9" s="18">
        <f>F8*(1-Assumptions!B8)</f>
        <v>1470118686.7492383</v>
      </c>
    </row>
    <row r="10" spans="1:6" x14ac:dyDescent="0.25">
      <c r="A10" t="s">
        <v>46</v>
      </c>
      <c r="B10" s="18">
        <f>B6*Assumptions!B9</f>
        <v>761502911.9700633</v>
      </c>
      <c r="C10" s="18">
        <f>C6*Assumptions!B9</f>
        <v>739306048.4615895</v>
      </c>
      <c r="D10" s="18">
        <f>D6*Assumptions!B9</f>
        <v>717756195.9387193</v>
      </c>
      <c r="E10" s="18">
        <f>E6*Assumptions!B9</f>
        <v>696834494.8353103</v>
      </c>
      <c r="F10" s="18">
        <f>F6*Assumptions!B9</f>
        <v>676522635.3181353</v>
      </c>
    </row>
    <row r="11" spans="1:6" x14ac:dyDescent="0.25">
      <c r="A11" t="s">
        <v>47</v>
      </c>
      <c r="B11" s="18">
        <f>-B6*Assumptions!B10</f>
        <v>-584744741.9788651</v>
      </c>
      <c r="C11" s="18">
        <f>-C6*Assumptions!B10</f>
        <v>-567700159.4553082</v>
      </c>
      <c r="D11" s="18">
        <f>-D6*Assumptions!B10</f>
        <v>-551152405.3297617</v>
      </c>
      <c r="E11" s="18">
        <f>-E6*Assumptions!B10</f>
        <v>-535086997.67186856</v>
      </c>
      <c r="F11" s="18">
        <f>-F6*Assumptions!B10</f>
        <v>-519489876.681544</v>
      </c>
    </row>
    <row r="12" spans="1:6" x14ac:dyDescent="0.25">
      <c r="A12" t="s">
        <v>48</v>
      </c>
      <c r="B12" s="18">
        <f>-(B6-Assumptions!B29)*Assumptions!B11</f>
        <v>-143464518.96688712</v>
      </c>
      <c r="C12" s="18">
        <f>-(C6-B6)*Assumptions!B11</f>
        <v>-139282706.53286994</v>
      </c>
      <c r="D12" s="18">
        <f>-(D6-C6)*Assumptions!B11</f>
        <v>-135222788.73425922</v>
      </c>
      <c r="E12" s="18">
        <f>-(E6-D6)*Assumptions!B11</f>
        <v>-131281212.49392149</v>
      </c>
      <c r="F12" s="18">
        <f>-(F6-E6)*Assumptions!B11</f>
        <v>-127454528.30250354</v>
      </c>
    </row>
    <row r="13" spans="1:6" x14ac:dyDescent="0.25">
      <c r="A13" s="19" t="s">
        <v>49</v>
      </c>
      <c r="B13" s="20">
        <f>B9+B10+B11+B12</f>
        <v>1688078875.4310374</v>
      </c>
      <c r="C13" s="20">
        <f>C9+C10+C11+C12</f>
        <v>1638873474.1115031</v>
      </c>
      <c r="D13" s="20">
        <f>D9+D10+D11+D12</f>
        <v>1591102349.0892775</v>
      </c>
      <c r="E13" s="20">
        <f>E9+E10+E11+E12</f>
        <v>1544723692.9927711</v>
      </c>
      <c r="F13" s="20">
        <f>F9+F10+F11+F12</f>
        <v>1499696917.0833259</v>
      </c>
    </row>
    <row r="14" spans="1:6" x14ac:dyDescent="0.25">
      <c r="A14" t="s">
        <v>50</v>
      </c>
      <c r="B14" s="21">
        <f>1/(1+Assumptions!$B$26)^(1-0.5*Assumptions!$B$32)</f>
        <v>0.9695336257606005</v>
      </c>
      <c r="C14" s="21">
        <f>1/(1+Assumptions!$B$26)^(2-0.5*Assumptions!$B$32)</f>
        <v>0.9113571982723582</v>
      </c>
      <c r="D14" s="21">
        <f>1/(1+Assumptions!$B$26)^(3-0.5*Assumptions!$B$32)</f>
        <v>0.8566716210500255</v>
      </c>
      <c r="E14" s="21">
        <f>1/(1+Assumptions!$B$26)^(4-0.5*Assumptions!$B$32)</f>
        <v>0.8052674271994472</v>
      </c>
      <c r="F14" s="21">
        <f>1/(1+Assumptions!$B$26)^(5-0.5*Assumptions!$B$32)</f>
        <v>0.7569477187928821</v>
      </c>
    </row>
    <row r="15" spans="1:6" x14ac:dyDescent="0.25">
      <c r="A15" s="19" t="s">
        <v>51</v>
      </c>
      <c r="B15" s="20">
        <f>B13*B14</f>
        <v>1636649232.6665308</v>
      </c>
      <c r="C15" s="20">
        <f>C13*C14</f>
        <v>1493599137.6891456</v>
      </c>
      <c r="D15" s="20">
        <f>D13*D14</f>
        <v>1363052228.6508148</v>
      </c>
      <c r="E15" s="20">
        <f>E13*E14</f>
        <v>1243915673.9903176</v>
      </c>
      <c r="F15" s="20">
        <f>F13*F14</f>
        <v>1135192160.2669415</v>
      </c>
    </row>
    <row r="17" spans="1:2" x14ac:dyDescent="0.25">
      <c r="A17" s="22" t="s">
        <v>52</v>
      </c>
      <c r="B17" s="23">
        <f>SUM(B15:F15)</f>
        <v>6872408433.26375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1499696917.0833259</v>
      </c>
    </row>
    <row r="5" spans="1:2" x14ac:dyDescent="0.25">
      <c r="A5" t="s">
        <v>56</v>
      </c>
      <c r="B5" s="18">
        <f>IF(Assumptions!$B$33=0,B4,B4-Forecast!F11-Forecast!F10-Forecast!F12)</f>
        <v>1470118686.7492383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0.31552103198471587</v>
      </c>
    </row>
    <row r="7" spans="1:2" x14ac:dyDescent="0.25">
      <c r="A7" t="s">
        <v>58</v>
      </c>
      <c r="B7" s="18">
        <f>-MAX(Forecast!F9,0)*B6</f>
        <v>-463853365.1831349</v>
      </c>
    </row>
    <row r="8" spans="1:2" x14ac:dyDescent="0.25">
      <c r="A8" t="s">
        <v>59</v>
      </c>
      <c r="B8" s="18">
        <f>IF(OR(Assumptions!$B$33=0,Assumptions!B12&lt;=0),B5,MAX(B5+B7,0))</f>
        <v>1006265321.5661033</v>
      </c>
    </row>
    <row r="9" spans="1:2" x14ac:dyDescent="0.25">
      <c r="A9" t="s">
        <v>60</v>
      </c>
      <c r="B9" s="18">
        <f>B8*(1+Assumptions!B12)/(Assumptions!B26-Assumptions!B12)</f>
        <v>26559126604.46757</v>
      </c>
    </row>
    <row r="10" spans="1:2" x14ac:dyDescent="0.25">
      <c r="A10" t="s">
        <v>61</v>
      </c>
      <c r="B10" s="18">
        <f>B9/(1+Assumptions!B26)^(5-0.5*Assumptions!B32)</f>
        <v>20103870296.383076</v>
      </c>
    </row>
    <row r="11" spans="1:2" x14ac:dyDescent="0.25">
      <c r="A11" t="s">
        <v>62</v>
      </c>
      <c r="B11" s="18">
        <f>Forecast!B17+B10</f>
        <v>26976278729.646828</v>
      </c>
    </row>
    <row r="12" spans="1:2" x14ac:dyDescent="0.25">
      <c r="A12" t="s">
        <v>63</v>
      </c>
      <c r="B12" s="18">
        <f>-Assumptions!B30</f>
        <v>-525000000</v>
      </c>
    </row>
    <row r="13" spans="1:2" x14ac:dyDescent="0.25">
      <c r="A13" t="s">
        <v>64</v>
      </c>
      <c r="B13" s="18">
        <f>B11+B12</f>
        <v>26451278729.646828</v>
      </c>
    </row>
    <row r="14" spans="1:2" x14ac:dyDescent="0.25">
      <c r="A14" s="19" t="s">
        <v>65</v>
      </c>
      <c r="B14" s="24">
        <f>B13/Assumptions!B31</f>
        <v>63.82918449127348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2652362655.530594</v>
      </c>
    </row>
    <row r="18" spans="1:2" x14ac:dyDescent="0.25">
      <c r="A18" t="s">
        <v>60</v>
      </c>
      <c r="B18" s="18">
        <f>B17*Assumptions!B13</f>
        <v>23153151792.973434</v>
      </c>
    </row>
    <row r="19" spans="1:2" x14ac:dyDescent="0.25">
      <c r="A19" t="s">
        <v>61</v>
      </c>
      <c r="B19" s="18">
        <f>B18/(1+Assumptions!B26)^(5-0.5*Assumptions!B32)</f>
        <v>17525725432.556572</v>
      </c>
    </row>
    <row r="20" spans="1:2" x14ac:dyDescent="0.25">
      <c r="A20" t="s">
        <v>62</v>
      </c>
      <c r="B20" s="18">
        <f>Forecast!B17+B19</f>
        <v>24398133865.82032</v>
      </c>
    </row>
    <row r="21" spans="1:2" x14ac:dyDescent="0.25">
      <c r="A21" t="s">
        <v>63</v>
      </c>
      <c r="B21" s="18">
        <f>-Assumptions!B30</f>
        <v>-525000000</v>
      </c>
    </row>
    <row r="22" spans="1:2" x14ac:dyDescent="0.25">
      <c r="A22" t="s">
        <v>64</v>
      </c>
      <c r="B22" s="18">
        <f>B20+B21</f>
        <v>23873133865.82032</v>
      </c>
    </row>
    <row r="23" spans="1:2" x14ac:dyDescent="0.25">
      <c r="A23" s="19" t="s">
        <v>65</v>
      </c>
      <c r="B23" s="25">
        <f>B22/Assumptions!B31</f>
        <v>57.60790173816522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72.94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63.82918449127348</v>
      </c>
    </row>
    <row r="29" spans="1:2" x14ac:dyDescent="0.25">
      <c r="A29" s="19" t="s">
        <v>73</v>
      </c>
      <c r="B29" s="12">
        <f>B28/B26-1</f>
        <v>-0.12490835630280395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0.043835</v>
      </c>
      <c r="B5" s="31">
        <v>99.52932154969402</v>
      </c>
      <c r="C5" s="31">
        <v>109.6365394968809</v>
      </c>
      <c r="D5" s="31">
        <v>125.01195862583654</v>
      </c>
      <c r="E5" s="31">
        <v>151.36739807111323</v>
      </c>
      <c r="F5" s="31">
        <v>207.34465803020012</v>
      </c>
    </row>
    <row r="6" spans="1:6" x14ac:dyDescent="0.25">
      <c r="A6" s="30">
        <v>0.053835</v>
      </c>
      <c r="B6" s="31">
        <v>75.052246150195</v>
      </c>
      <c r="C6" s="31">
        <v>78.830748691697</v>
      </c>
      <c r="D6" s="31">
        <v>83.85832099340358</v>
      </c>
      <c r="E6" s="31">
        <v>90.92103590629308</v>
      </c>
      <c r="F6" s="31">
        <v>101.63966004399671</v>
      </c>
    </row>
    <row r="7" spans="1:6" x14ac:dyDescent="0.25">
      <c r="A7" s="30">
        <v>0.063835</v>
      </c>
      <c r="B7" s="31">
        <v>60.56271495659449</v>
      </c>
      <c r="C7" s="31">
        <v>62.02894182584131</v>
      </c>
      <c r="D7" s="32">
        <v>63.82908756567807</v>
      </c>
      <c r="E7" s="31">
        <v>66.11118773274289</v>
      </c>
      <c r="F7" s="31">
        <v>69.1259555716489</v>
      </c>
    </row>
    <row r="8" spans="1:6" x14ac:dyDescent="0.25">
      <c r="A8" s="30">
        <v>0.073835</v>
      </c>
      <c r="B8" s="31">
        <v>50.96972482283143</v>
      </c>
      <c r="C8" s="31">
        <v>51.4295747001184</v>
      </c>
      <c r="D8" s="31">
        <v>51.95032007999115</v>
      </c>
      <c r="E8" s="31">
        <v>52.55279893527478</v>
      </c>
      <c r="F8" s="31">
        <v>53.268580781384834</v>
      </c>
    </row>
    <row r="9" spans="1:6" x14ac:dyDescent="0.25">
      <c r="A9" s="30">
        <v>0.083835</v>
      </c>
      <c r="B9" s="31">
        <v>44.51887486107273</v>
      </c>
      <c r="C9" s="31">
        <v>44.66615201597444</v>
      </c>
      <c r="D9" s="31">
        <v>44.81342917087614</v>
      </c>
      <c r="E9" s="31">
        <v>44.960706325777856</v>
      </c>
      <c r="F9" s="31">
        <v>45.107983480679565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20495000000</v>
      </c>
      <c r="C5" s="18">
        <v>21586000000</v>
      </c>
      <c r="D5" s="18">
        <v>21514000000</v>
      </c>
      <c r="E5" s="18">
        <v>22397000000</v>
      </c>
      <c r="F5" s="8" t="s">
        <v>84</v>
      </c>
    </row>
    <row r="6" spans="1:6" x14ac:dyDescent="0.25">
      <c r="A6" t="s">
        <v>44</v>
      </c>
      <c r="B6" s="18">
        <v>2765000000</v>
      </c>
      <c r="C6" s="18">
        <v>2827000000</v>
      </c>
      <c r="D6" s="18">
        <v>2212000000</v>
      </c>
      <c r="E6" s="18">
        <v>1756000000</v>
      </c>
      <c r="F6" s="8" t="s">
        <v>85</v>
      </c>
    </row>
    <row r="7" spans="1:6" x14ac:dyDescent="0.25">
      <c r="A7" t="s">
        <v>86</v>
      </c>
      <c r="B7" s="18">
        <v>678000000</v>
      </c>
      <c r="C7" s="18">
        <v>826000000</v>
      </c>
      <c r="D7" s="18">
        <v>918000000</v>
      </c>
      <c r="E7" s="18">
        <v>875000000</v>
      </c>
      <c r="F7" s="8" t="s">
        <v>87</v>
      </c>
    </row>
    <row r="8" spans="1:6" x14ac:dyDescent="0.25">
      <c r="A8" t="s">
        <v>88</v>
      </c>
      <c r="B8" s="18">
        <v>693000000</v>
      </c>
      <c r="C8" s="18">
        <v>626000000</v>
      </c>
      <c r="D8" s="18">
        <v>608000000</v>
      </c>
      <c r="E8" s="18">
        <v>593000000</v>
      </c>
      <c r="F8" s="8" t="s">
        <v>89</v>
      </c>
    </row>
    <row r="9" spans="1:6" x14ac:dyDescent="0.25">
      <c r="A9" t="s">
        <v>90</v>
      </c>
      <c r="B9" s="18">
        <v>262000000</v>
      </c>
      <c r="C9" s="18">
        <v>-33000000</v>
      </c>
      <c r="D9" s="18">
        <v>-626000000</v>
      </c>
      <c r="E9" s="18">
        <v>681000000</v>
      </c>
      <c r="F9" s="8" t="s">
        <v>91</v>
      </c>
    </row>
    <row r="10" spans="1:6" x14ac:dyDescent="0.25">
      <c r="A10" t="s">
        <v>92</v>
      </c>
      <c r="B10" s="18">
        <v>3708000000</v>
      </c>
      <c r="C10" s="18">
        <v>3576000000</v>
      </c>
      <c r="D10" s="18">
        <v>2892000000</v>
      </c>
      <c r="E10" s="18">
        <v>3586000000</v>
      </c>
      <c r="F10" s="8" t="s">
        <v>93</v>
      </c>
    </row>
    <row r="11" spans="1:6" x14ac:dyDescent="0.25">
      <c r="A11" t="s">
        <v>94</v>
      </c>
      <c r="B11" s="18">
        <v>3183000000</v>
      </c>
      <c r="C11" s="18">
        <v>4027000000</v>
      </c>
      <c r="D11" s="18">
        <v>2251000000</v>
      </c>
      <c r="E11" s="18">
        <v>1920000000</v>
      </c>
      <c r="F11" s="8" t="s">
        <v>95</v>
      </c>
    </row>
    <row r="12" spans="1:6" x14ac:dyDescent="0.25">
      <c r="A12" t="s">
        <v>32</v>
      </c>
      <c r="B12" s="34">
        <v>414407280</v>
      </c>
      <c r="C12" s="34">
        <v>419354817</v>
      </c>
      <c r="D12" s="34">
        <v>419720744</v>
      </c>
      <c r="E12" s="34">
        <v>428416547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2026-09-19T00:08:42Z</dcterms:modified>
</cp:coreProperties>
</file>