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<sst xmlns="http://schemas.openxmlformats.org/spreadsheetml/2006/main" count="113" uniqueCount="101">
  <si>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Hera S.p.A. (HER.MI)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</si>
  <si>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</si>
  <si>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</si>
  <si>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</si>
  <si>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</si>
  <si>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</si>
  <si>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</si>
  <si>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</si>
  <si>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</si>
  <si>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</si>
  <si>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</si>
  <si>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</si>
  <si>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</si>
  <si>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</si>
  <si>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</si>
  <si>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</si>
  <si>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</si>
  <si>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</si>
  <si>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</si>
  <si>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</si>
  <si>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</si>
  <si>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</si>
  <si>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</si>
  <si>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</si>
  <si>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</si>
  <si>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</si>
  <si>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</si>
  <si>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</si>
  <si>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</si>
  <si>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</si>
  <si>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</si>
  <si>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</si>
  <si>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</si>
  <si>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</si>
  <si>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</si>
  <si>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</si>
  <si>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</si>
  <si>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</si>
  <si>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</si>
  <si>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</si>
  <si>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</si>
  <si>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</si>
  <si>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</si>
  <si>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</si>
  <si>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</si>
  <si>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</si>
  <si>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</si>
  <si>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</si>
  <si>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</si>
  <si>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</si>
  <si>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</si>
  <si>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</si>
  <si>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</si>
  <si>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</si>
  <si>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</si>
  <si>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</si>
  <si>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</si>
  <si>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</si>
  <si>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</si>
  <si>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</si>
  <si>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</si>
  <si>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</si>
  <si>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</si>
  <si>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</si>
  <si>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</si>
  <si>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</si>
  <si>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</si>
  <si>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</si>
  <si>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</si>
  <si>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</si>
  <si>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</si>
  <si>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</si>
  <si>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</si>
  <si>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</si>
  <si>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</si>
  <si>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</si>
  <si>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</si>
  <si>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</si>
  <si>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</si>
  <si>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</si>
  <si>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</si>
  <si>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</si>
  <si>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</si>
  <si>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</si>
  <si>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</si>
  <si>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</si>
  <si>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</si>
  <si>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</si>
  <si>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</si>
  <si>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</si>
  <si>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</si>
  <si>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</si>
  <si>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</si>
  <si>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</si>
  <si>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</si>
  <si>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</si>
  <si>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</si>
  <si>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</si>
  <si>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5.8%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</si>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</sst>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-0.13270355933608313</v>
      </c>
    </row>
    <row r="7" spans="1:2" x14ac:dyDescent="0.25">
      <c r="A7" t="s">
        <v>5</v>
      </c>
      <c r="B7" s="6">
        <v>0.05264957829042344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0.03657749724460417</v>
      </c>
    </row>
    <row r="10" spans="1:2" x14ac:dyDescent="0.25">
      <c r="A10" t="s">
        <v>8</v>
      </c>
      <c r="B10" s="6">
        <v>0.05845348716790261</v>
      </c>
    </row>
    <row r="11" spans="1:2" x14ac:dyDescent="0.25">
      <c r="A11" t="s">
        <v>9</v>
      </c>
      <c r="B11" s="6">
        <v>0.051382070078687204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6.65596224987556</v>
      </c>
    </row>
    <row r="14" spans="1:3" x14ac:dyDescent="0.25">
      <c r="A14" t="s">
        <v>12</v>
      </c>
      <c r="B14" s="6">
        <v>0.07207077642951104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0.87605</v>
      </c>
      <c r="C19" s="8" t="s">
        <v>19</v>
      </c>
    </row>
    <row r="20" spans="1:2" x14ac:dyDescent="0.25">
      <c r="A20" t="s">
        <v>20</v>
      </c>
      <c r="B20" s="10">
        <f>B17+B19*B18</f>
        <v>0.09894325000000001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5307379712</v>
      </c>
    </row>
    <row r="23" spans="1:2" x14ac:dyDescent="0.25">
      <c r="A23" t="s">
        <v>24</v>
      </c>
      <c r="B23" s="11">
        <v>4929100000</v>
      </c>
    </row>
    <row r="24" spans="1:2" x14ac:dyDescent="0.25">
      <c r="A24" t="s">
        <v>25</v>
      </c>
      <c r="B24" s="10">
        <f>B22/(B22+B23)</f>
        <v>0.5184770410650329</v>
      </c>
    </row>
    <row r="25" spans="1:2" x14ac:dyDescent="0.25">
      <c r="A25" t="s">
        <v>26</v>
      </c>
      <c r="B25" s="10">
        <f>1-B24</f>
        <v>0.4815229589349671</v>
      </c>
    </row>
    <row r="26" spans="1:2" x14ac:dyDescent="0.25">
      <c r="A26" t="s">
        <v>27</v>
      </c>
      <c r="B26" s="12">
        <f>B24*B20+B25*B21*(1-B8)</f>
        <v>0.06646777669980929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12963700000</v>
      </c>
      <c r="C29" s="8" t="s">
        <v>30</v>
      </c>
    </row>
    <row r="30" spans="1:2" x14ac:dyDescent="0.25">
      <c r="A30" t="s">
        <v>31</v>
      </c>
      <c r="B30" s="11">
        <v>4052900000</v>
      </c>
    </row>
    <row r="31" spans="1:2" x14ac:dyDescent="0.25">
      <c r="A31" t="s">
        <v>32</v>
      </c>
      <c r="B31" s="13">
        <v>1464668770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-0.13270355933608313</v>
      </c>
      <c r="C5" s="10">
        <f>Assumptions!B6</f>
        <v>-0.13270355933608313</v>
      </c>
      <c r="D5" s="10">
        <f>Assumptions!B6</f>
        <v>-0.13270355933608313</v>
      </c>
      <c r="E5" s="10">
        <f>Assumptions!B6</f>
        <v>-0.13270355933608313</v>
      </c>
      <c r="F5" s="10">
        <f>Assumptions!B6</f>
        <v>-0.13270355933608313</v>
      </c>
    </row>
    <row r="6" spans="1:6" x14ac:dyDescent="0.25">
      <c r="A6" t="s">
        <v>43</v>
      </c>
      <c r="B6" s="18">
        <f>Assumptions!B29*(1+B5)</f>
        <v>11243370867.83482</v>
      </c>
      <c r="C6" s="18">
        <f>B6*(1+C5)</f>
        <v>9751335534.737513</v>
      </c>
      <c r="D6" s="18">
        <f>C6*(1+D5)</f>
        <v>8457298600.997417</v>
      </c>
      <c r="E6" s="18">
        <f>D6*(1+E5)</f>
        <v>7334984974.276984</v>
      </c>
      <c r="F6" s="18">
        <f>E6*(1+F5)</f>
        <v>6361606360.513741</v>
      </c>
    </row>
    <row r="7" spans="1:6" x14ac:dyDescent="0.25">
      <c r="A7" t="s">
        <v>5</v>
      </c>
      <c r="B7" s="10">
        <f>Assumptions!B7</f>
        <v>0.05264957829042344</v>
      </c>
      <c r="C7" s="10">
        <f>Assumptions!B7</f>
        <v>0.05264957829042344</v>
      </c>
      <c r="D7" s="10">
        <f>Assumptions!B7</f>
        <v>0.05264957829042344</v>
      </c>
      <c r="E7" s="10">
        <f>Assumptions!B7</f>
        <v>0.05264957829042344</v>
      </c>
      <c r="F7" s="10">
        <f>Assumptions!B7</f>
        <v>0.05264957829042344</v>
      </c>
    </row>
    <row r="8" spans="1:6" x14ac:dyDescent="0.25">
      <c r="A8" t="s">
        <v>44</v>
      </c>
      <c r="B8" s="18">
        <f>B6*B7</f>
        <v>591958734.7543354</v>
      </c>
      <c r="C8" s="18">
        <f>C6*C7</f>
        <v>513403703.67235076</v>
      </c>
      <c r="D8" s="18">
        <f>D6*D7</f>
        <v>445273204.81870216</v>
      </c>
      <c r="E8" s="18">
        <f>E6*E7</f>
        <v>386183865.6622756</v>
      </c>
      <c r="F8" s="18">
        <f>F6*F7</f>
        <v>334935892.1307239</v>
      </c>
    </row>
    <row r="9" spans="1:6" x14ac:dyDescent="0.25">
      <c r="A9" t="s">
        <v>45</v>
      </c>
      <c r="B9" s="18">
        <f>B8*(1-Assumptions!B8)</f>
        <v>443969051.06575155</v>
      </c>
      <c r="C9" s="18">
        <f>C8*(1-Assumptions!B8)</f>
        <v>385052777.75426304</v>
      </c>
      <c r="D9" s="18">
        <f>D8*(1-Assumptions!B8)</f>
        <v>333954903.6140266</v>
      </c>
      <c r="E9" s="18">
        <f>E8*(1-Assumptions!B8)</f>
        <v>289637899.2467067</v>
      </c>
      <c r="F9" s="18">
        <f>F8*(1-Assumptions!B8)</f>
        <v>251201919.0980429</v>
      </c>
    </row>
    <row r="10" spans="1:6" x14ac:dyDescent="0.25">
      <c r="A10" t="s">
        <v>46</v>
      </c>
      <c r="B10" s="18">
        <f>B6*Assumptions!B9</f>
        <v>411254366.93829095</v>
      </c>
      <c r="C10" s="18">
        <f>C6*Assumptions!B9</f>
        <v>356679448.6530721</v>
      </c>
      <c r="D10" s="18">
        <f>D6*Assumptions!B9</f>
        <v>309346816.27477777</v>
      </c>
      <c r="E10" s="18">
        <f>E6*Assumptions!B9</f>
        <v>268295392.68582937</v>
      </c>
      <c r="F10" s="18">
        <f>F6*Assumptions!B9</f>
        <v>232691639.12294772</v>
      </c>
    </row>
    <row r="11" spans="1:6" x14ac:dyDescent="0.25">
      <c r="A11" t="s">
        <v>47</v>
      </c>
      <c r="B11" s="18">
        <f>-B6*Assumptions!B10</f>
        <v>-657214234.7469527</v>
      </c>
      <c r="C11" s="18">
        <f>-C6*Assumptions!B10</f>
        <v>-569999566.5496919</v>
      </c>
      <c r="D11" s="18">
        <f>-D6*Assumptions!B10</f>
        <v>-494358595.24852324</v>
      </c>
      <c r="E11" s="18">
        <f>-E6*Assumptions!B10</f>
        <v>-428755450.07065815</v>
      </c>
      <c r="F11" s="18">
        <f>-F6*Assumptions!B10</f>
        <v>-371858075.76153755</v>
      </c>
    </row>
    <row r="12" spans="1:6" x14ac:dyDescent="0.25">
      <c r="A12" t="s">
        <v>48</v>
      </c>
      <c r="B12" s="18">
        <f>-(B6-Assumptions!B29)*Assumptions!B11</f>
        <v>88394072.02731843</v>
      </c>
      <c r="C12" s="18">
        <f>-(C6-B6)*Assumptions!B11</f>
        <v>76663864.04508324</v>
      </c>
      <c r="D12" s="18">
        <f>-(D6-C6)*Assumptions!B11</f>
        <v>66490296.41384308</v>
      </c>
      <c r="E12" s="18">
        <f>-(E6-D6)*Assumptions!B11</f>
        <v>57666797.41841489</v>
      </c>
      <c r="F12" s="18">
        <f>-(F6-E6)*Assumptions!B11</f>
        <v>50014208.14547839</v>
      </c>
    </row>
    <row r="13" spans="1:6" x14ac:dyDescent="0.25">
      <c r="A13" s="19" t="s">
        <v>49</v>
      </c>
      <c r="B13" s="20">
        <f>B9+B10+B11+B12</f>
        <v>286403255.2844083</v>
      </c>
      <c r="C13" s="20">
        <f>C9+C10+C11+C12</f>
        <v>248396523.90272647</v>
      </c>
      <c r="D13" s="20">
        <f>D9+D10+D11+D12</f>
        <v>215433421.0541243</v>
      </c>
      <c r="E13" s="20">
        <f>E9+E10+E11+E12</f>
        <v>186844639.28029287</v>
      </c>
      <c r="F13" s="20">
        <f>F9+F10+F11+F12</f>
        <v>162049690.6049315</v>
      </c>
    </row>
    <row r="14" spans="1:6" x14ac:dyDescent="0.25">
      <c r="A14" t="s">
        <v>50</v>
      </c>
      <c r="B14" s="21">
        <f>1/(1+Assumptions!$B$26)^(1-0.5*Assumptions!$B$32)</f>
        <v>0.9683361184191964</v>
      </c>
      <c r="C14" s="21">
        <f>1/(1+Assumptions!$B$26)^(2-0.5*Assumptions!$B$32)</f>
        <v>0.9079844131959788</v>
      </c>
      <c r="D14" s="21">
        <f>1/(1+Assumptions!$B$26)^(3-0.5*Assumptions!$B$32)</f>
        <v>0.8513941377635824</v>
      </c>
      <c r="E14" s="21">
        <f>1/(1+Assumptions!$B$26)^(4-0.5*Assumptions!$B$32)</f>
        <v>0.7983308604018272</v>
      </c>
      <c r="F14" s="21">
        <f>1/(1+Assumptions!$B$26)^(5-0.5*Assumptions!$B$32)</f>
        <v>0.7485747603854163</v>
      </c>
    </row>
    <row r="15" spans="1:6" x14ac:dyDescent="0.25">
      <c r="A15" s="19" t="s">
        <v>51</v>
      </c>
      <c r="B15" s="20">
        <f>B13*B14</f>
        <v>277334616.5247261</v>
      </c>
      <c r="C15" s="20">
        <f>C13*C14</f>
        <v>225540171.995738</v>
      </c>
      <c r="D15" s="20">
        <f>D13*D14</f>
        <v>183418751.76383495</v>
      </c>
      <c r="E15" s="20">
        <f>E13*E14</f>
        <v>149163841.63810524</v>
      </c>
      <c r="F15" s="20">
        <f>F13*F14</f>
        <v>121306308.31511743</v>
      </c>
    </row>
    <row r="17" spans="1:2" x14ac:dyDescent="0.25">
      <c r="A17" s="22" t="s">
        <v>52</v>
      </c>
      <c r="B17" s="23">
        <f>SUM(B15:F15)</f>
        <v>956763690.2375218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162049690.6049315</v>
      </c>
    </row>
    <row r="5" spans="1:2" x14ac:dyDescent="0.25">
      <c r="A5" t="s">
        <v>56</v>
      </c>
      <c r="B5" s="18">
        <f>IF(Assumptions!$B$33=0,B4,B4-Forecast!F11-Forecast!F10-Forecast!F12)</f>
        <v>251201919.0980429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0.3468812358980384</v>
      </c>
    </row>
    <row r="7" spans="1:2" x14ac:dyDescent="0.25">
      <c r="A7" t="s">
        <v>58</v>
      </c>
      <c r="B7" s="18">
        <f>-MAX(Forecast!F9,0)*B6</f>
        <v>-87137232.15668817</v>
      </c>
    </row>
    <row r="8" spans="1:2" x14ac:dyDescent="0.25">
      <c r="A8" t="s">
        <v>59</v>
      </c>
      <c r="B8" s="18">
        <f>IF(OR(Assumptions!$B$33=0,Assumptions!B12&lt;=0),B5,MAX(B5+B7,0))</f>
        <v>164064686.94135475</v>
      </c>
    </row>
    <row r="9" spans="1:2" x14ac:dyDescent="0.25">
      <c r="A9" t="s">
        <v>60</v>
      </c>
      <c r="B9" s="18">
        <f>B8*(1+Assumptions!B12)/(Assumptions!B26-Assumptions!B12)</f>
        <v>4055348935.928413</v>
      </c>
    </row>
    <row r="10" spans="1:2" x14ac:dyDescent="0.25">
      <c r="A10" t="s">
        <v>61</v>
      </c>
      <c r="B10" s="18">
        <f>B9/(1+Assumptions!B26)^(5-0.5*Assumptions!B32)</f>
        <v>3035731857.9918647</v>
      </c>
    </row>
    <row r="11" spans="1:2" x14ac:dyDescent="0.25">
      <c r="A11" t="s">
        <v>62</v>
      </c>
      <c r="B11" s="18">
        <f>Forecast!B17+B10</f>
        <v>3992495548.2293863</v>
      </c>
    </row>
    <row r="12" spans="1:2" x14ac:dyDescent="0.25">
      <c r="A12" t="s">
        <v>63</v>
      </c>
      <c r="B12" s="18">
        <f>-Assumptions!B30</f>
        <v>-4052900000</v>
      </c>
    </row>
    <row r="13" spans="1:2" x14ac:dyDescent="0.25">
      <c r="A13" t="s">
        <v>64</v>
      </c>
      <c r="B13" s="18">
        <f>B11+B12</f>
        <v>-60404451.77061367</v>
      </c>
    </row>
    <row r="14" spans="1:2" x14ac:dyDescent="0.25">
      <c r="A14" s="19" t="s">
        <v>65</v>
      </c>
      <c r="B14" s="24">
        <f>B13/Assumptions!B31</f>
        <v>-0.0412410321076305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567627531.2536716</v>
      </c>
    </row>
    <row r="18" spans="1:2" x14ac:dyDescent="0.25">
      <c r="A18" t="s">
        <v>60</v>
      </c>
      <c r="B18" s="18">
        <f>B17*Assumptions!B13</f>
        <v>3778107420.014498</v>
      </c>
    </row>
    <row r="19" spans="1:2" x14ac:dyDescent="0.25">
      <c r="A19" t="s">
        <v>61</v>
      </c>
      <c r="B19" s="18">
        <f>B18/(1+Assumptions!B26)^(5-0.5*Assumptions!B32)</f>
        <v>2828195856.647716</v>
      </c>
    </row>
    <row r="20" spans="1:2" x14ac:dyDescent="0.25">
      <c r="A20" t="s">
        <v>62</v>
      </c>
      <c r="B20" s="18">
        <f>Forecast!B17+B19</f>
        <v>3784959546.8852377</v>
      </c>
    </row>
    <row r="21" spans="1:2" x14ac:dyDescent="0.25">
      <c r="A21" t="s">
        <v>63</v>
      </c>
      <c r="B21" s="18">
        <f>-Assumptions!B30</f>
        <v>-4052900000</v>
      </c>
    </row>
    <row r="22" spans="1:2" x14ac:dyDescent="0.25">
      <c r="A22" t="s">
        <v>64</v>
      </c>
      <c r="B22" s="18">
        <f>B20+B21</f>
        <v>-267940453.1147623</v>
      </c>
    </row>
    <row r="23" spans="1:2" x14ac:dyDescent="0.25">
      <c r="A23" s="19" t="s">
        <v>65</v>
      </c>
      <c r="B23" s="25">
        <f>B22/Assumptions!B31</f>
        <v>-0.18293586823371832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-0.0412410321076305</v>
      </c>
    </row>
    <row r="29" spans="1:2" x14ac:dyDescent="0.25">
      <c r="A29" s="19" t="s">
        <v>73</v>
      </c>
      <c r="B29" s="12">
        <f>B28/B26-1</f>
        <v>-1.0114558422521196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0.046468</v>
      </c>
      <c r="B5" s="31">
        <v>1.4835877934503192</v>
      </c>
      <c r="C5" s="31">
        <v>1.805283719865673</v>
      </c>
      <c r="D5" s="31">
        <v>2.272310796485876</v>
      </c>
      <c r="E5" s="31">
        <v>3.01704497989781</v>
      </c>
      <c r="F5" s="31">
        <v>4.40272367870594</v>
      </c>
    </row>
    <row r="6" spans="1:6" x14ac:dyDescent="0.25">
      <c r="A6" s="30">
        <v>0.056468</v>
      </c>
      <c r="B6" s="31">
        <v>0.4953850064333548</v>
      </c>
      <c r="C6" s="31">
        <v>0.6059694076371858</v>
      </c>
      <c r="D6" s="31">
        <v>0.7487426119641966</v>
      </c>
      <c r="E6" s="31">
        <v>0.941946724856722</v>
      </c>
      <c r="F6" s="31">
        <v>1.2208185465981016</v>
      </c>
    </row>
    <row r="7" spans="1:6" x14ac:dyDescent="0.25">
      <c r="A7" s="30">
        <v>0.066468</v>
      </c>
      <c r="B7" s="31">
        <v>-0.1089406869894416</v>
      </c>
      <c r="C7" s="31">
        <v>-0.0777807153145117</v>
      </c>
      <c r="D7" s="32">
        <v>-0.04125443231475433</v>
      </c>
      <c r="E7" s="31">
        <v>0.002845430570553735</v>
      </c>
      <c r="F7" s="31">
        <v>0.058129007391344974</v>
      </c>
    </row>
    <row r="8" spans="1:6" x14ac:dyDescent="0.25">
      <c r="A8" s="30">
        <v>0.076468</v>
      </c>
      <c r="B8" s="31">
        <v>-0.49242366608504834</v>
      </c>
      <c r="C8" s="31">
        <v>-0.48437416903409475</v>
      </c>
      <c r="D8" s="31">
        <v>-0.47632467198314177</v>
      </c>
      <c r="E8" s="31">
        <v>-0.46827517493218845</v>
      </c>
      <c r="F8" s="31">
        <v>-0.4602256778812352</v>
      </c>
    </row>
    <row r="9" spans="1:6" x14ac:dyDescent="0.25">
      <c r="A9" s="30">
        <v>0.086468</v>
      </c>
      <c r="B9" s="31">
        <v>-0.7524292722921566</v>
      </c>
      <c r="C9" s="31">
        <v>-0.7456008260571768</v>
      </c>
      <c r="D9" s="31">
        <v>-0.7387723798221976</v>
      </c>
      <c r="E9" s="31">
        <v>-0.7319439335872178</v>
      </c>
      <c r="F9" s="31">
        <v>-0.7251154873522386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12963700000</v>
      </c>
      <c r="C5" s="18">
        <v>13058400000</v>
      </c>
      <c r="D5" s="18">
        <v>15410600000</v>
      </c>
      <c r="E5" s="18">
        <v>19871300000</v>
      </c>
      <c r="F5" s="8" t="s">
        <v>84</v>
      </c>
    </row>
    <row r="6" spans="1:6" x14ac:dyDescent="0.25">
      <c r="A6" t="s">
        <v>44</v>
      </c>
      <c r="B6" s="18">
        <v>816000000</v>
      </c>
      <c r="C6" s="18">
        <v>845800000</v>
      </c>
      <c r="D6" s="18">
        <v>855700000</v>
      </c>
      <c r="E6" s="18">
        <v>543600000</v>
      </c>
      <c r="F6" s="8" t="s">
        <v>85</v>
      </c>
    </row>
    <row r="7" spans="1:6" x14ac:dyDescent="0.25">
      <c r="A7" t="s">
        <v>86</v>
      </c>
      <c r="B7" s="18">
        <v>590300000</v>
      </c>
      <c r="C7" s="18">
        <v>562400000</v>
      </c>
      <c r="D7" s="18">
        <v>519300000</v>
      </c>
      <c r="E7" s="18">
        <v>477100000</v>
      </c>
      <c r="F7" s="8" t="s">
        <v>87</v>
      </c>
    </row>
    <row r="8" spans="1:6" x14ac:dyDescent="0.25">
      <c r="A8" t="s">
        <v>88</v>
      </c>
      <c r="B8" s="18">
        <v>1027900000</v>
      </c>
      <c r="C8" s="18">
        <v>860300000</v>
      </c>
      <c r="D8" s="18">
        <v>815800000</v>
      </c>
      <c r="E8" s="18">
        <v>709500000</v>
      </c>
      <c r="F8" s="8" t="s">
        <v>89</v>
      </c>
    </row>
    <row r="9" spans="1:6" x14ac:dyDescent="0.25">
      <c r="A9" t="s">
        <v>90</v>
      </c>
      <c r="B9" s="18">
        <v>-27500000</v>
      </c>
      <c r="C9" s="18">
        <v>372200000</v>
      </c>
      <c r="D9" s="18">
        <v>-229200000</v>
      </c>
      <c r="E9" s="18">
        <v>927600000</v>
      </c>
      <c r="F9" s="8" t="s">
        <v>91</v>
      </c>
    </row>
    <row r="10" spans="1:6" x14ac:dyDescent="0.25">
      <c r="A10" t="s">
        <v>92</v>
      </c>
      <c r="B10" s="18">
        <v>4929100000</v>
      </c>
      <c r="C10" s="18">
        <v>4794300000</v>
      </c>
      <c r="D10" s="18">
        <v>4725300000</v>
      </c>
      <c r="E10" s="18">
        <v>5651600000</v>
      </c>
      <c r="F10" s="8" t="s">
        <v>93</v>
      </c>
    </row>
    <row r="11" spans="1:6" x14ac:dyDescent="0.25">
      <c r="A11" t="s">
        <v>94</v>
      </c>
      <c r="B11" s="18">
        <v>876200000</v>
      </c>
      <c r="C11" s="18">
        <v>1356800000</v>
      </c>
      <c r="D11" s="18">
        <v>1398700000</v>
      </c>
      <c r="E11" s="18">
        <v>1983300000</v>
      </c>
      <c r="F11" s="8" t="s">
        <v>95</v>
      </c>
    </row>
    <row r="12" spans="1:6" x14ac:dyDescent="0.25">
      <c r="A12" t="s">
        <v>32</v>
      </c>
      <c r="B12" s="34">
        <v>1464668770</v>
      </c>
      <c r="C12" s="34">
        <v>1441690962</v>
      </c>
      <c r="D12" s="34">
        <v>1447213115</v>
      </c>
      <c r="E12" s="34">
        <v>1454636032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2026-09-19T00:08:12Z</dcterms:modified>
</cp:coreProperties>
</file>