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<sst xmlns="http://schemas.openxmlformats.org/spreadsheetml/2006/main" count="114" uniqueCount="102">
  <si>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Hexagon AB (publ) (HEXA-B.ST)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</si>
  <si>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</si>
  <si>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</si>
  <si>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</si>
  <si>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</si>
  <si>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</si>
  <si>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</si>
  <si>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</si>
  <si>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</si>
  <si>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</si>
  <si>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</si>
  <si>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</si>
  <si>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</si>
  <si>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</si>
  <si>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</si>
  <si>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</si>
  <si>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</si>
  <si>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</si>
  <si>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</si>
  <si>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</si>
  <si>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</si>
  <si>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</si>
  <si>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</si>
  <si>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</si>
  <si>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</si>
  <si>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</si>
  <si>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</si>
  <si>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</si>
  <si>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</si>
  <si>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</si>
  <si>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</si>
  <si>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</si>
  <si>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</si>
  <si>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</si>
  <si>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</si>
  <si>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</si>
  <si>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</si>
  <si>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</si>
  <si>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</si>
  <si>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</si>
  <si>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</si>
  <si>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</si>
  <si>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</si>
  <si>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</si>
  <si>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</si>
  <si>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</si>
  <si>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</si>
  <si>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</si>
  <si>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</si>
  <si>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</si>
  <si>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</si>
  <si>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</si>
  <si>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</si>
  <si>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</si>
  <si>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</si>
  <si>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</si>
  <si>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</si>
  <si>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</si>
  <si>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</si>
  <si>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</si>
  <si>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</si>
  <si>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</si>
  <si>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</si>
  <si>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</si>
  <si>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</si>
  <si>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</si>
  <si>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</si>
  <si>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</si>
  <si>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</si>
  <si>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</si>
  <si>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EUR to SEK</t>
  </si>
  <si>
    <t>EUR/SEK at 11.2866</t>
  </si>
  <si>
    <t>Value per share (SEK)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</si>
  <si>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</si>
  <si>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</si>
  <si>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</si>
  <si>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</si>
  <si>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</si>
  <si>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</si>
  <si>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</si>
  <si>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</si>
  <si>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</si>
  <si>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</si>
  <si>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</si>
  <si>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</si>
  <si>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</si>
  <si>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</si>
  <si>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</si>
  <si>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</si>
  <si>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</si>
  <si>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</si>
  <si>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</si>
  <si>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</si>
  <si>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</si>
  <si>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</si>
  <si>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</si>
  <si>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</si>
  <si>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</si>
  <si>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SEK. Modelled in EUR, converted at the end.</t>
  </si>
  <si>
    <t>Note: Risk-free rate is an assumption: USD assumption - no free live source available for this market.</t>
  </si>
  <si>
    <t>Current EV/EBITDA of 143.8x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</si>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</sst>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0.01677606050064373</v>
      </c>
    </row>
    <row r="7" spans="1:2" x14ac:dyDescent="0.25">
      <c r="A7" t="s">
        <v>5</v>
      </c>
      <c r="B7" s="6">
        <v>0.2383936190876027</v>
      </c>
    </row>
    <row r="8" spans="1:2" x14ac:dyDescent="0.25">
      <c r="A8" t="s">
        <v>6</v>
      </c>
      <c r="B8" s="6">
        <v>0.18167582988974418</v>
      </c>
    </row>
    <row r="9" spans="1:2" x14ac:dyDescent="0.25">
      <c r="A9" t="s">
        <v>7</v>
      </c>
      <c r="B9" s="6">
        <v>0.11171397197502124</v>
      </c>
    </row>
    <row r="10" spans="1:2" x14ac:dyDescent="0.25">
      <c r="A10" t="s">
        <v>8</v>
      </c>
      <c r="B10" s="6">
        <v>0.11393338477755871</v>
      </c>
    </row>
    <row r="11" spans="1:2" x14ac:dyDescent="0.25">
      <c r="A11" t="s">
        <v>9</v>
      </c>
      <c r="B11" s="6">
        <v>0.28467419002548233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0.10113864631066678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0.10220950000000001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256519143424</v>
      </c>
    </row>
    <row r="23" spans="1:2" x14ac:dyDescent="0.25">
      <c r="A23" t="s">
        <v>24</v>
      </c>
      <c r="B23" s="11">
        <v>4114100000</v>
      </c>
    </row>
    <row r="24" spans="1:2" x14ac:dyDescent="0.25">
      <c r="A24" t="s">
        <v>25</v>
      </c>
      <c r="B24" s="10">
        <f>B22/(B22+B23)</f>
        <v>0.9842149836837691</v>
      </c>
    </row>
    <row r="25" spans="1:2" x14ac:dyDescent="0.25">
      <c r="A25" t="s">
        <v>26</v>
      </c>
      <c r="B25" s="10">
        <f>1-B24</f>
        <v>0.01578501631623086</v>
      </c>
    </row>
    <row r="26" spans="1:2" x14ac:dyDescent="0.25">
      <c r="A26" t="s">
        <v>27</v>
      </c>
      <c r="B26" s="12">
        <f>B24*B20+B25*B21*(1-B8)</f>
        <v>0.10113864631066678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5424600000</v>
      </c>
      <c r="C29" s="8" t="s">
        <v>30</v>
      </c>
    </row>
    <row r="30" spans="1:2" x14ac:dyDescent="0.25">
      <c r="A30" t="s">
        <v>31</v>
      </c>
      <c r="B30" s="11">
        <v>3355900000</v>
      </c>
    </row>
    <row r="31" spans="1:2" x14ac:dyDescent="0.25">
      <c r="A31" t="s">
        <v>32</v>
      </c>
      <c r="B31" s="13">
        <v>2705478000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0.01677606050064373</v>
      </c>
      <c r="C5" s="10">
        <f>Assumptions!B6</f>
        <v>0.01677606050064373</v>
      </c>
      <c r="D5" s="10">
        <f>Assumptions!B6</f>
        <v>0.01677606050064373</v>
      </c>
      <c r="E5" s="10">
        <f>Assumptions!B6</f>
        <v>0.01677606050064373</v>
      </c>
      <c r="F5" s="10">
        <f>Assumptions!B6</f>
        <v>0.01677606050064373</v>
      </c>
    </row>
    <row r="6" spans="1:6" x14ac:dyDescent="0.25">
      <c r="A6" t="s">
        <v>43</v>
      </c>
      <c r="B6" s="18">
        <f>Assumptions!B29*(1+B5)</f>
        <v>5515603417.791792</v>
      </c>
      <c r="C6" s="18">
        <f>B6*(1+C5)</f>
        <v>5608133514.426225</v>
      </c>
      <c r="D6" s="18">
        <f>C6*(1+D5)</f>
        <v>5702215901.559927</v>
      </c>
      <c r="E6" s="18">
        <f>D6*(1+E5)</f>
        <v>5797876620.512229</v>
      </c>
      <c r="F6" s="18">
        <f>E6*(1+F5)</f>
        <v>5895142149.47321</v>
      </c>
    </row>
    <row r="7" spans="1:6" x14ac:dyDescent="0.25">
      <c r="A7" t="s">
        <v>5</v>
      </c>
      <c r="B7" s="10">
        <f>Assumptions!B7</f>
        <v>0.2383936190876027</v>
      </c>
      <c r="C7" s="10">
        <f>Assumptions!B7</f>
        <v>0.2383936190876027</v>
      </c>
      <c r="D7" s="10">
        <f>Assumptions!B7</f>
        <v>0.2383936190876027</v>
      </c>
      <c r="E7" s="10">
        <f>Assumptions!B7</f>
        <v>0.2383936190876027</v>
      </c>
      <c r="F7" s="10">
        <f>Assumptions!B7</f>
        <v>0.2383936190876027</v>
      </c>
    </row>
    <row r="8" spans="1:6" x14ac:dyDescent="0.25">
      <c r="A8" t="s">
        <v>44</v>
      </c>
      <c r="B8" s="18">
        <f>B6*B7</f>
        <v>1314884660.219336</v>
      </c>
      <c r="C8" s="18">
        <f>C6*C7</f>
        <v>1336943244.830544</v>
      </c>
      <c r="D8" s="18">
        <f>D6*D7</f>
        <v>1359371885.5917482</v>
      </c>
      <c r="E8" s="18">
        <f>E6*E7</f>
        <v>1382176790.5873096</v>
      </c>
      <c r="F8" s="18">
        <f>F6*F7</f>
        <v>1405364272.0487878</v>
      </c>
    </row>
    <row r="9" spans="1:6" x14ac:dyDescent="0.25">
      <c r="A9" t="s">
        <v>45</v>
      </c>
      <c r="B9" s="18">
        <f>B8*(1-Assumptions!B8)</f>
        <v>1076001898.3646939</v>
      </c>
      <c r="C9" s="18">
        <f>C8*(1-Assumptions!B8)</f>
        <v>1094052971.3104675</v>
      </c>
      <c r="D9" s="18">
        <f>D8*(1-Assumptions!B8)</f>
        <v>1112406870.148081</v>
      </c>
      <c r="E9" s="18">
        <f>E8*(1-Assumptions!B8)</f>
        <v>1131068675.103017</v>
      </c>
      <c r="F9" s="18">
        <f>F8*(1-Assumptions!B8)</f>
        <v>1150043551.626928</v>
      </c>
    </row>
    <row r="10" spans="1:6" x14ac:dyDescent="0.25">
      <c r="A10" t="s">
        <v>46</v>
      </c>
      <c r="B10" s="18">
        <f>B6*Assumptions!B9</f>
        <v>616169965.6405236</v>
      </c>
      <c r="C10" s="18">
        <f>C6*Assumptions!B9</f>
        <v>626506870.2627887</v>
      </c>
      <c r="D10" s="18">
        <f>D6*Assumptions!B9</f>
        <v>637017187.4223862</v>
      </c>
      <c r="E10" s="18">
        <f>E6*Assumptions!B9</f>
        <v>647703826.298534</v>
      </c>
      <c r="F10" s="18">
        <f>F6*Assumptions!B9</f>
        <v>658569744.8750167</v>
      </c>
    </row>
    <row r="11" spans="1:6" x14ac:dyDescent="0.25">
      <c r="A11" t="s">
        <v>47</v>
      </c>
      <c r="B11" s="18">
        <f>-B6*Assumptions!B10</f>
        <v>-628411366.4796902</v>
      </c>
      <c r="C11" s="18">
        <f>-C6*Assumptions!B10</f>
        <v>-638953633.5830457</v>
      </c>
      <c r="D11" s="18">
        <f>-D6*Assumptions!B10</f>
        <v>-649672758.397141</v>
      </c>
      <c r="E11" s="18">
        <f>-E6*Assumptions!B10</f>
        <v>-660571707.8976315</v>
      </c>
      <c r="F11" s="18">
        <f>-F6*Assumptions!B10</f>
        <v>-671653498.8343358</v>
      </c>
    </row>
    <row r="12" spans="1:6" x14ac:dyDescent="0.25">
      <c r="A12" t="s">
        <v>48</v>
      </c>
      <c r="B12" s="18">
        <f>-(B6-Assumptions!B29)*Assumptions!B11</f>
        <v>-25906324.24942893</v>
      </c>
      <c r="C12" s="18">
        <f>-(C6-B6)*Assumptions!B11</f>
        <v>-26340930.312386762</v>
      </c>
      <c r="D12" s="18">
        <f>-(D6-C6)*Assumptions!B11</f>
        <v>-26782827.352950558</v>
      </c>
      <c r="E12" s="18">
        <f>-(E6-D6)*Assumptions!B11</f>
        <v>-27232137.685001872</v>
      </c>
      <c r="F12" s="18">
        <f>-(F6-E6)*Assumptions!B11</f>
        <v>-27688985.674367465</v>
      </c>
    </row>
    <row r="13" spans="1:6" x14ac:dyDescent="0.25">
      <c r="A13" s="19" t="s">
        <v>49</v>
      </c>
      <c r="B13" s="20">
        <f>B9+B10+B11+B12</f>
        <v>1037854173.2760984</v>
      </c>
      <c r="C13" s="20">
        <f>C9+C10+C11+C12</f>
        <v>1055265277.6778235</v>
      </c>
      <c r="D13" s="20">
        <f>D9+D10+D11+D12</f>
        <v>1072968471.8203757</v>
      </c>
      <c r="E13" s="20">
        <f>E9+E10+E11+E12</f>
        <v>1090968655.8189178</v>
      </c>
      <c r="F13" s="20">
        <f>F9+F10+F11+F12</f>
        <v>1109270811.9932415</v>
      </c>
    </row>
    <row r="14" spans="1:6" x14ac:dyDescent="0.25">
      <c r="A14" t="s">
        <v>50</v>
      </c>
      <c r="B14" s="21">
        <f>1/(1+Assumptions!$B$26)^(1-0.5*Assumptions!$B$32)</f>
        <v>0.952969491728905</v>
      </c>
      <c r="C14" s="21">
        <f>1/(1+Assumptions!$B$26)^(2-0.5*Assumptions!$B$32)</f>
        <v>0.8654400560018503</v>
      </c>
      <c r="D14" s="21">
        <f>1/(1+Assumptions!$B$26)^(3-0.5*Assumptions!$B$32)</f>
        <v>0.7859501243567122</v>
      </c>
      <c r="E14" s="21">
        <f>1/(1+Assumptions!$B$26)^(4-0.5*Assumptions!$B$32)</f>
        <v>0.7137612751945592</v>
      </c>
      <c r="F14" s="21">
        <f>1/(1+Assumptions!$B$26)^(5-0.5*Assumptions!$B$32)</f>
        <v>0.6482029103110637</v>
      </c>
    </row>
    <row r="15" spans="1:6" x14ac:dyDescent="0.25">
      <c r="A15" s="19" t="s">
        <v>51</v>
      </c>
      <c r="B15" s="20">
        <f>B13*B14</f>
        <v>989043363.9956464</v>
      </c>
      <c r="C15" s="20">
        <f>C13*C14</f>
        <v>913268841.0103036</v>
      </c>
      <c r="D15" s="20">
        <f>D13*D14</f>
        <v>843299703.8580557</v>
      </c>
      <c r="E15" s="20">
        <f>E13*E14</f>
        <v>778691178.974605</v>
      </c>
      <c r="F15" s="20">
        <f>F13*F14</f>
        <v>719032568.657136</v>
      </c>
    </row>
    <row r="17" spans="1:2" x14ac:dyDescent="0.25">
      <c r="A17" s="22" t="s">
        <v>52</v>
      </c>
      <c r="B17" s="23">
        <f>SUM(B15:F15)</f>
        <v>4243335656.4957466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1109270811.9932415</v>
      </c>
    </row>
    <row r="5" spans="1:2" x14ac:dyDescent="0.25">
      <c r="A5" t="s">
        <v>56</v>
      </c>
      <c r="B5" s="18">
        <f>IF(Assumptions!$B$33=0,B4,B4-Forecast!F11-Forecast!F10-Forecast!F12)</f>
        <v>1150043551.626928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0.24718543219579683</v>
      </c>
    </row>
    <row r="7" spans="1:2" x14ac:dyDescent="0.25">
      <c r="A7" t="s">
        <v>58</v>
      </c>
      <c r="B7" s="18">
        <f>-MAX(Forecast!F9,0)*B6</f>
        <v>-284274012.3528914</v>
      </c>
    </row>
    <row r="8" spans="1:2" x14ac:dyDescent="0.25">
      <c r="A8" t="s">
        <v>59</v>
      </c>
      <c r="B8" s="18">
        <f>IF(OR(Assumptions!$B$33=0,Assumptions!B12&lt;=0),B5,MAX(B5+B7,0))</f>
        <v>865769539.2740366</v>
      </c>
    </row>
    <row r="9" spans="1:2" x14ac:dyDescent="0.25">
      <c r="A9" t="s">
        <v>60</v>
      </c>
      <c r="B9" s="18">
        <f>B8*(1+Assumptions!B12)/(Assumptions!B26-Assumptions!B12)</f>
        <v>11655234506.468546</v>
      </c>
    </row>
    <row r="10" spans="1:2" x14ac:dyDescent="0.25">
      <c r="A10" t="s">
        <v>61</v>
      </c>
      <c r="B10" s="18">
        <f>B9/(1+Assumptions!B26)^(5-0.5*Assumptions!B32)</f>
        <v>7554956927.450846</v>
      </c>
    </row>
    <row r="11" spans="1:2" x14ac:dyDescent="0.25">
      <c r="A11" t="s">
        <v>62</v>
      </c>
      <c r="B11" s="18">
        <f>Forecast!B17+B10</f>
        <v>11798292583.946592</v>
      </c>
    </row>
    <row r="12" spans="1:2" x14ac:dyDescent="0.25">
      <c r="A12" t="s">
        <v>63</v>
      </c>
      <c r="B12" s="18">
        <f>-Assumptions!B30</f>
        <v>-3355900000</v>
      </c>
    </row>
    <row r="13" spans="1:2" x14ac:dyDescent="0.25">
      <c r="A13" t="s">
        <v>64</v>
      </c>
      <c r="B13" s="18">
        <f>B11+B12</f>
        <v>8442392583.946592</v>
      </c>
    </row>
    <row r="14" spans="1:2" x14ac:dyDescent="0.25">
      <c r="A14" s="19" t="s">
        <v>65</v>
      </c>
      <c r="B14" s="24">
        <f>B13/Assumptions!B31</f>
        <v>3.1204809589826983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2063934016.9238045</v>
      </c>
    </row>
    <row r="18" spans="1:2" x14ac:dyDescent="0.25">
      <c r="A18" t="s">
        <v>60</v>
      </c>
      <c r="B18" s="18">
        <f>B17*Assumptions!B13</f>
        <v>41278680338.47609</v>
      </c>
    </row>
    <row r="19" spans="1:2" x14ac:dyDescent="0.25">
      <c r="A19" t="s">
        <v>61</v>
      </c>
      <c r="B19" s="18">
        <f>B18/(1+Assumptions!B26)^(5-0.5*Assumptions!B32)</f>
        <v>26756960729.200287</v>
      </c>
    </row>
    <row r="20" spans="1:2" x14ac:dyDescent="0.25">
      <c r="A20" t="s">
        <v>62</v>
      </c>
      <c r="B20" s="18">
        <f>Forecast!B17+B19</f>
        <v>31000296385.696033</v>
      </c>
    </row>
    <row r="21" spans="1:2" x14ac:dyDescent="0.25">
      <c r="A21" t="s">
        <v>63</v>
      </c>
      <c r="B21" s="18">
        <f>-Assumptions!B30</f>
        <v>-3355900000</v>
      </c>
    </row>
    <row r="22" spans="1:2" x14ac:dyDescent="0.25">
      <c r="A22" t="s">
        <v>64</v>
      </c>
      <c r="B22" s="18">
        <f>B20+B21</f>
        <v>27644396385.696033</v>
      </c>
    </row>
    <row r="23" spans="1:2" x14ac:dyDescent="0.25">
      <c r="A23" s="19" t="s">
        <v>65</v>
      </c>
      <c r="B23" s="25">
        <f>B22/Assumptions!B31</f>
        <v>10.217934274718194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95.56</v>
      </c>
    </row>
    <row r="27" spans="1:3" x14ac:dyDescent="0.25">
      <c r="A27" t="s">
        <v>70</v>
      </c>
      <c r="B27" s="27">
        <v>11.28662</v>
      </c>
      <c r="C27" s="8" t="s">
        <v>71</v>
      </c>
    </row>
    <row r="28" spans="1:2" x14ac:dyDescent="0.25">
      <c r="A28" t="s">
        <v>72</v>
      </c>
      <c r="B28" s="28">
        <f>B14*B27</f>
        <v>35.2196828012733</v>
      </c>
    </row>
    <row r="29" spans="1:2" x14ac:dyDescent="0.25">
      <c r="A29" s="19" t="s">
        <v>73</v>
      </c>
      <c r="B29" s="12">
        <f>B28/B26-1</f>
        <v>-0.6314390665417193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0.081139</v>
      </c>
      <c r="B5" s="31">
        <v>4.140498622534948</v>
      </c>
      <c r="C5" s="31">
        <v>4.158937892850215</v>
      </c>
      <c r="D5" s="31">
        <v>4.177377163165482</v>
      </c>
      <c r="E5" s="31">
        <v>4.19581643348075</v>
      </c>
      <c r="F5" s="31">
        <v>4.214255703796016</v>
      </c>
    </row>
    <row r="6" spans="1:6" x14ac:dyDescent="0.25">
      <c r="A6" s="30">
        <v>0.091139</v>
      </c>
      <c r="B6" s="31">
        <v>3.5592168027642135</v>
      </c>
      <c r="C6" s="31">
        <v>3.5749666255323787</v>
      </c>
      <c r="D6" s="31">
        <v>3.5907164483005425</v>
      </c>
      <c r="E6" s="31">
        <v>3.6064662710687063</v>
      </c>
      <c r="F6" s="31">
        <v>3.622216093836871</v>
      </c>
    </row>
    <row r="7" spans="1:6" x14ac:dyDescent="0.25">
      <c r="A7" s="30">
        <v>0.101139</v>
      </c>
      <c r="B7" s="31">
        <v>3.0932225360881316</v>
      </c>
      <c r="C7" s="31">
        <v>3.1068442570112076</v>
      </c>
      <c r="D7" s="32">
        <v>3.120465977934282</v>
      </c>
      <c r="E7" s="31">
        <v>3.134087698857358</v>
      </c>
      <c r="F7" s="31">
        <v>3.147709419780433</v>
      </c>
    </row>
    <row r="8" spans="1:6" x14ac:dyDescent="0.25">
      <c r="A8" s="30">
        <v>0.111139</v>
      </c>
      <c r="B8" s="31">
        <v>2.7113764995109855</v>
      </c>
      <c r="C8" s="31">
        <v>2.723278392454814</v>
      </c>
      <c r="D8" s="31">
        <v>2.735180285398644</v>
      </c>
      <c r="E8" s="31">
        <v>2.7470821783424726</v>
      </c>
      <c r="F8" s="31">
        <v>2.7589840712863007</v>
      </c>
    </row>
    <row r="9" spans="1:6" x14ac:dyDescent="0.25">
      <c r="A9" s="30">
        <v>0.121139</v>
      </c>
      <c r="B9" s="31">
        <v>2.3928227084877807</v>
      </c>
      <c r="C9" s="31">
        <v>2.403310613118158</v>
      </c>
      <c r="D9" s="31">
        <v>2.4137985177485337</v>
      </c>
      <c r="E9" s="31">
        <v>2.424286422378911</v>
      </c>
      <c r="F9" s="31">
        <v>2.434774327009287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5424600000</v>
      </c>
      <c r="C5" s="18">
        <v>5401100000</v>
      </c>
      <c r="D5" s="18">
        <v>5435200000</v>
      </c>
      <c r="E5" s="18">
        <v>5160500000</v>
      </c>
      <c r="F5" s="8" t="s">
        <v>84</v>
      </c>
    </row>
    <row r="6" spans="1:6" x14ac:dyDescent="0.25">
      <c r="A6" t="s">
        <v>44</v>
      </c>
      <c r="B6" s="18">
        <v>1015400000</v>
      </c>
      <c r="C6" s="18">
        <v>1485300000</v>
      </c>
      <c r="D6" s="18">
        <v>1291600000</v>
      </c>
      <c r="E6" s="18">
        <v>1309500000</v>
      </c>
      <c r="F6" s="8" t="s">
        <v>85</v>
      </c>
    </row>
    <row r="7" spans="1:6" x14ac:dyDescent="0.25">
      <c r="A7" t="s">
        <v>86</v>
      </c>
      <c r="B7" s="18">
        <v>791200000</v>
      </c>
      <c r="C7" s="18">
        <v>577500000</v>
      </c>
      <c r="D7" s="18">
        <v>563000000</v>
      </c>
      <c r="E7" s="18">
        <v>467000000</v>
      </c>
      <c r="F7" s="8" t="s">
        <v>87</v>
      </c>
    </row>
    <row r="8" spans="1:6" x14ac:dyDescent="0.25">
      <c r="A8" t="s">
        <v>88</v>
      </c>
      <c r="B8" s="18">
        <v>615200000</v>
      </c>
      <c r="C8" s="18">
        <v>632300000</v>
      </c>
      <c r="D8" s="18">
        <v>626600000</v>
      </c>
      <c r="E8" s="18">
        <v>567500000</v>
      </c>
      <c r="F8" s="8" t="s">
        <v>89</v>
      </c>
    </row>
    <row r="9" spans="1:6" x14ac:dyDescent="0.25">
      <c r="A9" t="s">
        <v>90</v>
      </c>
      <c r="B9" s="18">
        <v>-86200000</v>
      </c>
      <c r="C9" s="18">
        <v>-94000000</v>
      </c>
      <c r="D9" s="18">
        <v>78200000</v>
      </c>
      <c r="E9" s="18">
        <v>173800000</v>
      </c>
      <c r="F9" s="8" t="s">
        <v>91</v>
      </c>
    </row>
    <row r="10" spans="1:6" x14ac:dyDescent="0.25">
      <c r="A10" t="s">
        <v>92</v>
      </c>
      <c r="B10" s="18">
        <v>4114100000</v>
      </c>
      <c r="C10" s="18">
        <v>3831000000</v>
      </c>
      <c r="D10" s="18">
        <v>4083400000</v>
      </c>
      <c r="E10" s="18">
        <v>3874100000</v>
      </c>
      <c r="F10" s="8" t="s">
        <v>93</v>
      </c>
    </row>
    <row r="11" spans="1:6" x14ac:dyDescent="0.25">
      <c r="A11" t="s">
        <v>94</v>
      </c>
      <c r="B11" s="18">
        <v>758200000</v>
      </c>
      <c r="C11" s="18">
        <v>663800000</v>
      </c>
      <c r="D11" s="18">
        <v>547100000</v>
      </c>
      <c r="E11" s="18">
        <v>486300000</v>
      </c>
      <c r="F11" s="8" t="s">
        <v>95</v>
      </c>
    </row>
    <row r="12" spans="1:6" x14ac:dyDescent="0.25">
      <c r="A12" t="s">
        <v>32</v>
      </c>
      <c r="B12" s="34">
        <v>2705478000</v>
      </c>
      <c r="C12" s="34">
        <v>2705478000</v>
      </c>
      <c r="D12" s="34">
        <v>2706141000</v>
      </c>
      <c r="E12" s="34">
        <v>2706294000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