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<sst xmlns="http://schemas.openxmlformats.org/spreadsheetml/2006/main" count="115" uniqueCount="102">
  <si>
    <t>Heartland Group Holdings Limited (HGH.NZ)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</si>
  <si>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</si>
  <si>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</si>
  <si>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</si>
  <si>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</si>
  <si>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</si>
  <si>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</si>
  <si>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</si>
  <si>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</si>
  <si>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</si>
  <si>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</si>
  <si>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</si>
  <si>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</si>
  <si>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</si>
  <si>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</si>
  <si>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</si>
  <si>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</si>
  <si>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</si>
  <si>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</si>
  <si>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</si>
  <si>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</si>
  <si>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</si>
  <si>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27.5% is not a credible funding cost, so risk-free + 2bp is assumed instead. Interest expense and reported debt are measuring different things - common for banks, whose interest expense includes deposits that total debt excludes.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</si>
  <si>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</si>
  <si>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</si>
  <si>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</si>
  <si>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</si>
  <si>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</si>
  <si>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</si>
  <si>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</si>
  <si>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2025-06-30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</si>
  <si>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</si>
  <si>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</si>
  <si>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</si>
  <si>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</si>
  <si>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</si>
  <si>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</si>
  <si>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</si>
  <si>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</si>
  <si>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</si>
  <si>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</si>
  <si>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</si>
  <si>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</si>
  <si>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</si>
  <si>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</si>
  <si>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</si>
  <si>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</si>
  <si>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</si>
  <si>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</si>
  <si>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</si>
  <si>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</si>
  <si>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</si>
  <si>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</si>
  <si>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</si>
  <si>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</si>
  <si>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</si>
  <si>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</si>
  <si>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</si>
  <si>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</si>
  <si>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</si>
  <si>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</si>
  <si>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</si>
  <si>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</si>
  <si>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</si>
  <si>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</si>
  <si>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</si>
  <si>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</si>
  <si>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</si>
  <si>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</si>
  <si>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</si>
  <si>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</si>
  <si>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</si>
  <si>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</si>
  <si>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</si>
  <si>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</si>
  <si>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</si>
  <si>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</si>
  <si>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</si>
  <si>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</si>
  <si>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2025-06-30</t>
  </si>
  <si>
    <t>2024-06-30</t>
  </si>
  <si>
    <t>2023-06-30</t>
  </si>
  <si>
    <t>2022-06-30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</si>
  <si>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</si>
  <si>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</si>
  <si>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</si>
  <si>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</si>
  <si>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</si>
  <si>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</si>
  <si>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</si>
  <si>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</si>
  <si>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</si>
  <si>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</si>
  <si>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</si>
  <si>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</si>
  <si>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</si>
  <si>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</si>
  <si>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</si>
  <si>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</si>
  <si>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Consensus rests on as few as 1 analyst estimate(s).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</si>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</sst>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0.06478730966482815</v>
      </c>
    </row>
    <row r="7" spans="1:2" x14ac:dyDescent="0.25">
      <c r="A7" t="s">
        <v>5</v>
      </c>
      <c r="B7" s="6">
        <v>0.3837556765080684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0.0541360648048275</v>
      </c>
    </row>
    <row r="10" spans="1:2" x14ac:dyDescent="0.25">
      <c r="A10" t="s">
        <v>8</v>
      </c>
      <c r="B10" s="6">
        <v>0.05893672777295061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17.683118316660916</v>
      </c>
    </row>
    <row r="14" spans="1:3" x14ac:dyDescent="0.25">
      <c r="A14" t="s">
        <v>12</v>
      </c>
      <c r="B14" s="6">
        <v>0.07758057743604627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0.8392</v>
      </c>
      <c r="C19" s="8" t="s">
        <v>19</v>
      </c>
    </row>
    <row r="20" spans="1:2" x14ac:dyDescent="0.25">
      <c r="A20" t="s">
        <v>20</v>
      </c>
      <c r="B20" s="10">
        <f>B17+B19*B18</f>
        <v>0.099548</v>
      </c>
    </row>
    <row r="21" spans="1:3" x14ac:dyDescent="0.25">
      <c r="A21" t="s">
        <v>21</v>
      </c>
      <c r="B21" s="6">
        <v>0.065</v>
      </c>
      <c r="C21" s="8" t="s">
        <v>22</v>
      </c>
    </row>
    <row r="22" spans="1:2" x14ac:dyDescent="0.25">
      <c r="A22" t="s">
        <v>23</v>
      </c>
      <c r="B22" s="11">
        <v>1176782720</v>
      </c>
    </row>
    <row r="23" spans="1:2" x14ac:dyDescent="0.25">
      <c r="A23" t="s">
        <v>24</v>
      </c>
      <c r="B23" s="11">
        <v>839844000</v>
      </c>
    </row>
    <row r="24" spans="1:2" x14ac:dyDescent="0.25">
      <c r="A24" t="s">
        <v>25</v>
      </c>
      <c r="B24" s="10">
        <f>B22/(B22+B23)</f>
        <v>0.5835401804058215</v>
      </c>
    </row>
    <row r="25" spans="1:2" x14ac:dyDescent="0.25">
      <c r="A25" t="s">
        <v>26</v>
      </c>
      <c r="B25" s="10">
        <f>1-B24</f>
        <v>0.41645981959417855</v>
      </c>
    </row>
    <row r="26" spans="1:2" x14ac:dyDescent="0.25">
      <c r="A26" t="s">
        <v>27</v>
      </c>
      <c r="B26" s="12">
        <f>B24*B20+B25*B21*(1-B8)</f>
        <v>0.07758057743604627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319129000</v>
      </c>
      <c r="C29" s="8" t="s">
        <v>30</v>
      </c>
    </row>
    <row r="30" spans="1:2" x14ac:dyDescent="0.25">
      <c r="A30" t="s">
        <v>31</v>
      </c>
      <c r="B30" s="11">
        <v>207328000</v>
      </c>
    </row>
    <row r="31" spans="1:2" x14ac:dyDescent="0.25">
      <c r="A31" t="s">
        <v>32</v>
      </c>
      <c r="B31" s="13">
        <v>936613000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0.06478730966482815</v>
      </c>
      <c r="C5" s="10">
        <f>Assumptions!B6</f>
        <v>0.06478730966482815</v>
      </c>
      <c r="D5" s="10">
        <f>Assumptions!B6</f>
        <v>0.06478730966482815</v>
      </c>
      <c r="E5" s="10">
        <f>Assumptions!B6</f>
        <v>0.06478730966482815</v>
      </c>
      <c r="F5" s="10">
        <f>Assumptions!B6</f>
        <v>0.06478730966482815</v>
      </c>
    </row>
    <row r="6" spans="1:6" x14ac:dyDescent="0.25">
      <c r="A6" t="s">
        <v>43</v>
      </c>
      <c r="B6" s="18">
        <f>Assumptions!B29*(1+B5)</f>
        <v>339804509.34602696</v>
      </c>
      <c r="C6" s="18">
        <f>B6*(1+C5)</f>
        <v>361819529.318533</v>
      </c>
      <c r="D6" s="18">
        <f>C6*(1+D5)</f>
        <v>385260843.20727515</v>
      </c>
      <c r="E6" s="18">
        <f>D6*(1+E5)</f>
        <v>410220856.7578777</v>
      </c>
      <c r="F6" s="18">
        <f>E6*(1+F5)</f>
        <v>436797962.43562144</v>
      </c>
    </row>
    <row r="7" spans="1:6" x14ac:dyDescent="0.25">
      <c r="A7" t="s">
        <v>5</v>
      </c>
      <c r="B7" s="10">
        <f>Assumptions!B7</f>
        <v>0.3837556765080684</v>
      </c>
      <c r="C7" s="10">
        <f>Assumptions!B7</f>
        <v>0.3837556765080684</v>
      </c>
      <c r="D7" s="10">
        <f>Assumptions!B7</f>
        <v>0.3837556765080684</v>
      </c>
      <c r="E7" s="10">
        <f>Assumptions!B7</f>
        <v>0.3837556765080684</v>
      </c>
      <c r="F7" s="10">
        <f>Assumptions!B7</f>
        <v>0.3837556765080684</v>
      </c>
    </row>
    <row r="8" spans="1:6" x14ac:dyDescent="0.25">
      <c r="A8" t="s">
        <v>44</v>
      </c>
      <c r="B8" s="18">
        <f>B6*B7</f>
        <v>130401909.36457683</v>
      </c>
      <c r="C8" s="18">
        <f>C6*C7</f>
        <v>138850298.24746454</v>
      </c>
      <c r="D8" s="18">
        <f>D6*D7</f>
        <v>147846035.51707676</v>
      </c>
      <c r="E8" s="18">
        <f>E6*E7</f>
        <v>157424582.4028388</v>
      </c>
      <c r="F8" s="18">
        <f>F6*F7</f>
        <v>167623697.57182777</v>
      </c>
    </row>
    <row r="9" spans="1:6" x14ac:dyDescent="0.25">
      <c r="A9" t="s">
        <v>45</v>
      </c>
      <c r="B9" s="18">
        <f>B8*(1-Assumptions!B8)</f>
        <v>93889374.74249531</v>
      </c>
      <c r="C9" s="18">
        <f>C8*(1-Assumptions!B8)</f>
        <v>99972214.73817447</v>
      </c>
      <c r="D9" s="18">
        <f>D8*(1-Assumptions!B8)</f>
        <v>106449145.57229526</v>
      </c>
      <c r="E9" s="18">
        <f>E8*(1-Assumptions!B8)</f>
        <v>113345699.33004393</v>
      </c>
      <c r="F9" s="18">
        <f>F8*(1-Assumptions!B8)</f>
        <v>120689062.25171599</v>
      </c>
    </row>
    <row r="10" spans="1:6" x14ac:dyDescent="0.25">
      <c r="A10" t="s">
        <v>46</v>
      </c>
      <c r="B10" s="18">
        <f>B6*Assumptions!B9</f>
        <v>18395678.93892913</v>
      </c>
      <c r="C10" s="18">
        <f>C6*Assumptions!B9</f>
        <v>19587485.486840285</v>
      </c>
      <c r="D10" s="18">
        <f>D6*Assumptions!B9</f>
        <v>20856505.974631533</v>
      </c>
      <c r="E10" s="18">
        <f>E6*Assumptions!B9</f>
        <v>22207742.885736328</v>
      </c>
      <c r="F10" s="18">
        <f>F6*Assumptions!B9</f>
        <v>23646522.80103141</v>
      </c>
    </row>
    <row r="11" spans="1:6" x14ac:dyDescent="0.25">
      <c r="A11" t="s">
        <v>47</v>
      </c>
      <c r="B11" s="18">
        <f>-B6*Assumptions!B10</f>
        <v>-20026965.86334784</v>
      </c>
      <c r="C11" s="18">
        <f>-C6*Assumptions!B10</f>
        <v>-21324459.1023835</v>
      </c>
      <c r="D11" s="18">
        <f>-D6*Assumptions!B10</f>
        <v>-22706013.437684584</v>
      </c>
      <c r="E11" s="18">
        <f>-E6*Assumptions!B10</f>
        <v>-24177074.961525604</v>
      </c>
      <c r="F11" s="18">
        <f>-F6*Assumptions!B10</f>
        <v>-25743442.603847727</v>
      </c>
    </row>
    <row r="12" spans="1:6" x14ac:dyDescent="0.25">
      <c r="A12" t="s">
        <v>48</v>
      </c>
      <c r="B12" s="18">
        <f>-(B6-Assumptions!B29)*Assumptions!B11</f>
        <v>-20675509.346026957</v>
      </c>
      <c r="C12" s="18">
        <f>-(C6-B6)*Assumptions!B11</f>
        <v>-22015019.972506046</v>
      </c>
      <c r="D12" s="18">
        <f>-(D6-C6)*Assumptions!B11</f>
        <v>-23441313.88874215</v>
      </c>
      <c r="E12" s="18">
        <f>-(E6-D6)*Assumptions!B11</f>
        <v>-24960013.550602555</v>
      </c>
      <c r="F12" s="18">
        <f>-(F6-E6)*Assumptions!B11</f>
        <v>-26577105.677743733</v>
      </c>
    </row>
    <row r="13" spans="1:6" x14ac:dyDescent="0.25">
      <c r="A13" s="19" t="s">
        <v>49</v>
      </c>
      <c r="B13" s="20">
        <f>B9+B10+B11+B12</f>
        <v>71582578.47204964</v>
      </c>
      <c r="C13" s="20">
        <f>C9+C10+C11+C12</f>
        <v>76220221.1501252</v>
      </c>
      <c r="D13" s="20">
        <f>D9+D10+D11+D12</f>
        <v>81158324.22050007</v>
      </c>
      <c r="E13" s="20">
        <f>E9+E10+E11+E12</f>
        <v>86416353.7036521</v>
      </c>
      <c r="F13" s="20">
        <f>F9+F10+F11+F12</f>
        <v>92015036.77115594</v>
      </c>
    </row>
    <row r="14" spans="1:6" x14ac:dyDescent="0.25">
      <c r="A14" t="s">
        <v>50</v>
      </c>
      <c r="B14" s="21">
        <f>1/(1+Assumptions!$B$26)^(1-0.5*Assumptions!$B$32)</f>
        <v>0.9633300825919653</v>
      </c>
      <c r="C14" s="21">
        <f>1/(1+Assumptions!$B$26)^(2-0.5*Assumptions!$B$32)</f>
        <v>0.89397498689525</v>
      </c>
      <c r="D14" s="21">
        <f>1/(1+Assumptions!$B$26)^(3-0.5*Assumptions!$B$32)</f>
        <v>0.8296131218533462</v>
      </c>
      <c r="E14" s="21">
        <f>1/(1+Assumptions!$B$26)^(4-0.5*Assumptions!$B$32)</f>
        <v>0.7698849990664232</v>
      </c>
      <c r="F14" s="21">
        <f>1/(1+Assumptions!$B$26)^(5-0.5*Assumptions!$B$32)</f>
        <v>0.714457011556628</v>
      </c>
    </row>
    <row r="15" spans="1:6" x14ac:dyDescent="0.25">
      <c r="A15" s="19" t="s">
        <v>51</v>
      </c>
      <c r="B15" s="20">
        <f>B13*B14</f>
        <v>68957651.23162541</v>
      </c>
      <c r="C15" s="20">
        <f>C13*C14</f>
        <v>68138971.20383623</v>
      </c>
      <c r="D15" s="20">
        <f>D13*D14</f>
        <v>67330010.7209551</v>
      </c>
      <c r="E15" s="20">
        <f>E13*E14</f>
        <v>66530654.39045989</v>
      </c>
      <c r="F15" s="20">
        <f>F13*F14</f>
        <v>65740788.18979331</v>
      </c>
    </row>
    <row r="17" spans="1:2" x14ac:dyDescent="0.25">
      <c r="A17" s="22" t="s">
        <v>52</v>
      </c>
      <c r="B17" s="23">
        <f>SUM(B15:F15)</f>
        <v>336698075.7366699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92015036.77115594</v>
      </c>
    </row>
    <row r="5" spans="1:2" x14ac:dyDescent="0.25">
      <c r="A5" t="s">
        <v>56</v>
      </c>
      <c r="B5" s="18">
        <f>IF(Assumptions!$B$33=0,B4,B4-Forecast!F11-Forecast!F10-Forecast!F12)</f>
        <v>120689062.25171599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0.3222456035546888</v>
      </c>
    </row>
    <row r="7" spans="1:2" x14ac:dyDescent="0.25">
      <c r="A7" t="s">
        <v>58</v>
      </c>
      <c r="B7" s="18">
        <f>-MAX(Forecast!F9,0)*B6</f>
        <v>-38891519.70775363</v>
      </c>
    </row>
    <row r="8" spans="1:2" x14ac:dyDescent="0.25">
      <c r="A8" t="s">
        <v>59</v>
      </c>
      <c r="B8" s="18">
        <f>IF(OR(Assumptions!$B$33=0,Assumptions!B12&lt;=0),B5,MAX(B5+B7,0))</f>
        <v>81797542.54396236</v>
      </c>
    </row>
    <row r="9" spans="1:2" x14ac:dyDescent="0.25">
      <c r="A9" t="s">
        <v>60</v>
      </c>
      <c r="B9" s="18">
        <f>B8*(1+Assumptions!B12)/(Assumptions!B26-Assumptions!B12)</f>
        <v>1594552308.0178986</v>
      </c>
    </row>
    <row r="10" spans="1:2" x14ac:dyDescent="0.25">
      <c r="A10" t="s">
        <v>61</v>
      </c>
      <c r="B10" s="18">
        <f>B9/(1+Assumptions!B26)^(5-0.5*Assumptions!B32)</f>
        <v>1139239076.7571917</v>
      </c>
    </row>
    <row r="11" spans="1:2" x14ac:dyDescent="0.25">
      <c r="A11" t="s">
        <v>62</v>
      </c>
      <c r="B11" s="18">
        <f>Forecast!B17+B10</f>
        <v>1475937152.4938617</v>
      </c>
    </row>
    <row r="12" spans="1:2" x14ac:dyDescent="0.25">
      <c r="A12" t="s">
        <v>63</v>
      </c>
      <c r="B12" s="18">
        <f>-Assumptions!B30</f>
        <v>-207328000</v>
      </c>
    </row>
    <row r="13" spans="1:2" x14ac:dyDescent="0.25">
      <c r="A13" t="s">
        <v>64</v>
      </c>
      <c r="B13" s="18">
        <f>B11+B12</f>
        <v>1268609152.4938617</v>
      </c>
    </row>
    <row r="14" spans="1:2" x14ac:dyDescent="0.25">
      <c r="A14" s="19" t="s">
        <v>65</v>
      </c>
      <c r="B14" s="24">
        <f>B13/Assumptions!B31</f>
        <v>1.3544646001004275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191270220.37285918</v>
      </c>
    </row>
    <row r="18" spans="1:2" x14ac:dyDescent="0.25">
      <c r="A18" t="s">
        <v>60</v>
      </c>
      <c r="B18" s="18">
        <f>B17*Assumptions!B13</f>
        <v>3382253937.307076</v>
      </c>
    </row>
    <row r="19" spans="1:2" x14ac:dyDescent="0.25">
      <c r="A19" t="s">
        <v>61</v>
      </c>
      <c r="B19" s="18">
        <f>B18/(1+Assumptions!B26)^(5-0.5*Assumptions!B32)</f>
        <v>2416475040.374052</v>
      </c>
    </row>
    <row r="20" spans="1:2" x14ac:dyDescent="0.25">
      <c r="A20" t="s">
        <v>62</v>
      </c>
      <c r="B20" s="18">
        <f>Forecast!B17+B19</f>
        <v>2753173116.110722</v>
      </c>
    </row>
    <row r="21" spans="1:2" x14ac:dyDescent="0.25">
      <c r="A21" t="s">
        <v>63</v>
      </c>
      <c r="B21" s="18">
        <f>-Assumptions!B30</f>
        <v>-207328000</v>
      </c>
    </row>
    <row r="22" spans="1:2" x14ac:dyDescent="0.25">
      <c r="A22" t="s">
        <v>64</v>
      </c>
      <c r="B22" s="18">
        <f>B20+B21</f>
        <v>2545845116.110722</v>
      </c>
    </row>
    <row r="23" spans="1:2" x14ac:dyDescent="0.25">
      <c r="A23" s="19" t="s">
        <v>65</v>
      </c>
      <c r="B23" s="25">
        <f>B22/Assumptions!B31</f>
        <v>2.7181398465649336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1.245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1.3544646001004275</v>
      </c>
    </row>
    <row r="29" spans="1:2" x14ac:dyDescent="0.25">
      <c r="A29" s="19" t="s">
        <v>73</v>
      </c>
      <c r="B29" s="12">
        <f>B28/B26-1</f>
        <v>0.08792337357464053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0.057581</v>
      </c>
      <c r="B5" s="31">
        <v>1.9208890150562254</v>
      </c>
      <c r="C5" s="31">
        <v>1.929586369181996</v>
      </c>
      <c r="D5" s="31">
        <v>1.9382837233077674</v>
      </c>
      <c r="E5" s="31">
        <v>1.9469810774335383</v>
      </c>
      <c r="F5" s="31">
        <v>1.9556784315593092</v>
      </c>
    </row>
    <row r="6" spans="1:6" x14ac:dyDescent="0.25">
      <c r="A6" s="30">
        <v>0.067581</v>
      </c>
      <c r="B6" s="31">
        <v>1.5884866087212843</v>
      </c>
      <c r="C6" s="31">
        <v>1.5955897321329309</v>
      </c>
      <c r="D6" s="31">
        <v>1.6026928555445772</v>
      </c>
      <c r="E6" s="31">
        <v>1.6097959789562235</v>
      </c>
      <c r="F6" s="31">
        <v>1.6168991023678698</v>
      </c>
    </row>
    <row r="7" spans="1:6" x14ac:dyDescent="0.25">
      <c r="A7" s="30">
        <v>0.077581</v>
      </c>
      <c r="B7" s="31">
        <v>1.34258884156294</v>
      </c>
      <c r="C7" s="31">
        <v>1.3485221605683062</v>
      </c>
      <c r="D7" s="32">
        <v>1.3544554795736727</v>
      </c>
      <c r="E7" s="31">
        <v>1.3603887985790393</v>
      </c>
      <c r="F7" s="31">
        <v>1.3663221175844054</v>
      </c>
    </row>
    <row r="8" spans="1:6" x14ac:dyDescent="0.25">
      <c r="A8" s="30">
        <v>0.087581</v>
      </c>
      <c r="B8" s="31">
        <v>1.153523183670488</v>
      </c>
      <c r="C8" s="31">
        <v>1.158565041354121</v>
      </c>
      <c r="D8" s="31">
        <v>1.163606899037754</v>
      </c>
      <c r="E8" s="31">
        <v>1.1686487567213868</v>
      </c>
      <c r="F8" s="31">
        <v>1.1736906144050194</v>
      </c>
    </row>
    <row r="9" spans="1:6" x14ac:dyDescent="0.25">
      <c r="A9" s="30">
        <v>0.097581</v>
      </c>
      <c r="B9" s="31">
        <v>1.0037827725365116</v>
      </c>
      <c r="C9" s="31">
        <v>1.008125352851623</v>
      </c>
      <c r="D9" s="31">
        <v>1.012467933166734</v>
      </c>
      <c r="E9" s="31">
        <v>1.016810513481845</v>
      </c>
      <c r="F9" s="31">
        <v>1.0211530937969562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319129000</v>
      </c>
      <c r="C5" s="18">
        <v>288456000</v>
      </c>
      <c r="D5" s="18">
        <v>282132000</v>
      </c>
      <c r="E5" s="18">
        <v>264349000</v>
      </c>
      <c r="F5" s="8" t="s">
        <v>84</v>
      </c>
    </row>
    <row r="6" spans="1:6" x14ac:dyDescent="0.25">
      <c r="A6" t="s">
        <v>44</v>
      </c>
      <c r="B6" s="18">
        <v>57205000</v>
      </c>
      <c r="C6" s="18">
        <v>104545000</v>
      </c>
      <c r="D6" s="18">
        <v>133993000</v>
      </c>
      <c r="E6" s="18">
        <v>137041000</v>
      </c>
      <c r="F6" s="8" t="s">
        <v>85</v>
      </c>
    </row>
    <row r="7" spans="1:6" x14ac:dyDescent="0.25">
      <c r="A7" t="s">
        <v>86</v>
      </c>
      <c r="B7" s="18">
        <v>21068000</v>
      </c>
      <c r="C7" s="18">
        <v>14479000</v>
      </c>
      <c r="D7" s="18">
        <v>13585000</v>
      </c>
      <c r="E7" s="18">
        <v>13794000</v>
      </c>
      <c r="F7" s="8" t="s">
        <v>87</v>
      </c>
    </row>
    <row r="8" spans="1:6" x14ac:dyDescent="0.25">
      <c r="A8" t="s">
        <v>88</v>
      </c>
      <c r="B8" s="18">
        <v>4410000</v>
      </c>
      <c r="C8" s="18">
        <v>28091000</v>
      </c>
      <c r="D8" s="18">
        <v>24669000</v>
      </c>
      <c r="E8" s="18">
        <v>9809000</v>
      </c>
      <c r="F8" s="8" t="s">
        <v>89</v>
      </c>
    </row>
    <row r="9" spans="1:6" x14ac:dyDescent="0.25">
      <c r="A9" t="s">
        <v>90</v>
      </c>
      <c r="B9" s="18">
        <v>-81660000</v>
      </c>
      <c r="C9" s="18">
        <v>424313000</v>
      </c>
      <c r="D9" s="18">
        <v>600976000</v>
      </c>
      <c r="E9" s="18">
        <v>0</v>
      </c>
      <c r="F9" s="8" t="s">
        <v>85</v>
      </c>
    </row>
    <row r="10" spans="1:6" x14ac:dyDescent="0.25">
      <c r="A10" t="s">
        <v>91</v>
      </c>
      <c r="B10" s="18">
        <v>839844000</v>
      </c>
      <c r="C10" s="18">
        <v>2058539000</v>
      </c>
      <c r="D10" s="18">
        <v>2510662000</v>
      </c>
      <c r="E10" s="18">
        <v>2594453000</v>
      </c>
      <c r="F10" s="8" t="s">
        <v>92</v>
      </c>
    </row>
    <row r="11" spans="1:6" x14ac:dyDescent="0.25">
      <c r="A11" t="s">
        <v>93</v>
      </c>
      <c r="B11" s="18">
        <v>632516000</v>
      </c>
      <c r="C11" s="18">
        <v>900200000</v>
      </c>
      <c r="D11" s="18">
        <v>616813000</v>
      </c>
      <c r="E11" s="18">
        <v>572017000</v>
      </c>
      <c r="F11" s="8" t="s">
        <v>94</v>
      </c>
    </row>
    <row r="12" spans="1:6" x14ac:dyDescent="0.25">
      <c r="A12" t="s">
        <v>32</v>
      </c>
      <c r="B12" s="34">
        <v>936613000</v>
      </c>
      <c r="C12" s="34">
        <v>757046000</v>
      </c>
      <c r="D12" s="34">
        <v>702928463</v>
      </c>
      <c r="E12" s="34">
        <v>723165381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8" ht="22" customHeight="1" spans="1:6" x14ac:dyDescent="0.25">
      <c r="A18" s="35" t="s">
        <v>99</v>
      </c>
      <c r="B18" s="35"/>
      <c r="C18" s="35"/>
      <c r="D18" s="35"/>
      <c r="E18" s="35"/>
      <c r="F18" s="35"/>
    </row>
    <row r="19" ht="22" customHeight="1" spans="1:6" x14ac:dyDescent="0.25">
      <c r="A19" s="35" t="s">
        <v>100</v>
      </c>
      <c r="B19" s="35"/>
      <c r="C19" s="35"/>
      <c r="D19" s="35"/>
      <c r="E19" s="35"/>
      <c r="F19" s="35"/>
    </row>
    <row r="21" spans="1:1" x14ac:dyDescent="0.25">
      <c r="A21" s="36" t="s">
        <v>101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2026-09-19T00:09:44Z</dcterms:modified>
</cp:coreProperties>
</file>