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<sst xmlns="http://schemas.openxmlformats.org/spreadsheetml/2006/main" count="113" uniqueCount="101">
  <si>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The Hartford Insurance Group, Inc. (HIG)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</si>
  <si>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</si>
  <si>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</si>
  <si>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</si>
  <si>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</si>
  <si>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</si>
  <si>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</si>
  <si>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</si>
  <si>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</si>
  <si>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</si>
  <si>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</si>
  <si>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</si>
  <si>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</si>
  <si>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</si>
  <si>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</si>
  <si>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</si>
  <si>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</si>
  <si>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</si>
  <si>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</si>
  <si>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</si>
  <si>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</si>
  <si>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</si>
  <si>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</si>
  <si>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</si>
  <si>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</si>
  <si>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</si>
  <si>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</si>
  <si>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</si>
  <si>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</si>
  <si>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</si>
  <si>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</si>
  <si>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</si>
  <si>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</si>
  <si>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</si>
  <si>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</si>
  <si>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</si>
  <si>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</si>
  <si>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</si>
  <si>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</si>
  <si>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</si>
  <si>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</si>
  <si>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</si>
  <si>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</si>
  <si>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</si>
  <si>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</si>
  <si>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</si>
  <si>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</si>
  <si>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</si>
  <si>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</si>
  <si>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</si>
  <si>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</si>
  <si>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</si>
  <si>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</si>
  <si>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</si>
  <si>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</si>
  <si>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</si>
  <si>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</si>
  <si>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</si>
  <si>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</si>
  <si>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</si>
  <si>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</si>
  <si>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</si>
  <si>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</si>
  <si>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</si>
  <si>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</si>
  <si>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</si>
  <si>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</si>
  <si>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</si>
  <si>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</si>
  <si>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</si>
  <si>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</si>
  <si>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</si>
  <si>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</si>
  <si>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</si>
  <si>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</si>
  <si>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</si>
  <si>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</si>
  <si>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</si>
  <si>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</si>
  <si>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</si>
  <si>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</si>
  <si>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</si>
  <si>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</si>
  <si>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</si>
  <si>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</si>
  <si>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</si>
  <si>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</si>
  <si>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</si>
  <si>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</si>
  <si>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</si>
  <si>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</si>
  <si>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</si>
  <si>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</si>
  <si>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</si>
  <si>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</si>
  <si>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</si>
  <si>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</si>
  <si>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</si>
  <si>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</si>
  <si>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0.71% of revenue, which is too low to be the company's real investment - property trusts and similar structures invest through lines that are not reported as capex. Capex has been set to 1.93%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</si>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</sst>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0.08703196529784973</v>
      </c>
    </row>
    <row r="7" spans="1:2" x14ac:dyDescent="0.25">
      <c r="A7" t="s">
        <v>5</v>
      </c>
      <c r="B7" s="6">
        <v>0.13647011578732063</v>
      </c>
    </row>
    <row r="8" spans="1:2" x14ac:dyDescent="0.25">
      <c r="A8" t="s">
        <v>6</v>
      </c>
      <c r="B8" s="6">
        <v>0.19292788042730732</v>
      </c>
    </row>
    <row r="9" spans="1:2" x14ac:dyDescent="0.25">
      <c r="A9" t="s">
        <v>7</v>
      </c>
      <c r="B9" s="6">
        <v>0.01929019269151379</v>
      </c>
    </row>
    <row r="10" spans="1:2" x14ac:dyDescent="0.25">
      <c r="A10" t="s">
        <v>8</v>
      </c>
      <c r="B10" s="6">
        <v>0.01929019269151379</v>
      </c>
    </row>
    <row r="11" spans="1:2" x14ac:dyDescent="0.25">
      <c r="A11" t="s">
        <v>9</v>
      </c>
      <c r="B11" s="6">
        <v>-0.918790752815649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3.4806648378588054</v>
      </c>
    </row>
    <row r="14" spans="1:3" x14ac:dyDescent="0.25">
      <c r="A14" t="s">
        <v>12</v>
      </c>
      <c r="B14" s="6">
        <v>0.14022634641477633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0.6315</v>
      </c>
      <c r="C19" s="8" t="s">
        <v>19</v>
      </c>
    </row>
    <row r="20" spans="1:2" x14ac:dyDescent="0.25">
      <c r="A20" t="s">
        <v>20</v>
      </c>
      <c r="B20" s="10">
        <f>B17+B19*B18</f>
        <v>0.0847125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35725307904</v>
      </c>
    </row>
    <row r="23" spans="1:2" x14ac:dyDescent="0.25">
      <c r="A23" t="s">
        <v>24</v>
      </c>
      <c r="B23" s="11">
        <v>4371000000</v>
      </c>
    </row>
    <row r="24" spans="1:2" x14ac:dyDescent="0.25">
      <c r="A24" t="s">
        <v>25</v>
      </c>
      <c r="B24" s="10">
        <f>B22/(B22+B23)</f>
        <v>0.890987469208756</v>
      </c>
    </row>
    <row r="25" spans="1:2" x14ac:dyDescent="0.25">
      <c r="A25" t="s">
        <v>26</v>
      </c>
      <c r="B25" s="10">
        <f>1-B24</f>
        <v>0.10901253079124396</v>
      </c>
    </row>
    <row r="26" spans="1:2" x14ac:dyDescent="0.25">
      <c r="A26" t="s">
        <v>27</v>
      </c>
      <c r="B26" s="12">
        <f>B24*B20+B25*B21*(1-B8)</f>
        <v>0.07987506508014466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28071000000</v>
      </c>
      <c r="C29" s="8" t="s">
        <v>30</v>
      </c>
    </row>
    <row r="30" spans="1:2" x14ac:dyDescent="0.25">
      <c r="A30" t="s">
        <v>31</v>
      </c>
      <c r="B30" s="11">
        <v>-17779000000</v>
      </c>
    </row>
    <row r="31" spans="1:2" x14ac:dyDescent="0.25">
      <c r="A31" t="s">
        <v>32</v>
      </c>
      <c r="B31" s="13">
        <v>286500000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0.08703196529784973</v>
      </c>
      <c r="C5" s="10">
        <f>Assumptions!B6</f>
        <v>0.08703196529784973</v>
      </c>
      <c r="D5" s="10">
        <f>Assumptions!B6</f>
        <v>0.08703196529784973</v>
      </c>
      <c r="E5" s="10">
        <f>Assumptions!B6</f>
        <v>0.08703196529784973</v>
      </c>
      <c r="F5" s="10">
        <f>Assumptions!B6</f>
        <v>0.08703196529784973</v>
      </c>
    </row>
    <row r="6" spans="1:6" x14ac:dyDescent="0.25">
      <c r="A6" t="s">
        <v>43</v>
      </c>
      <c r="B6" s="18">
        <f>Assumptions!B29*(1+B5)</f>
        <v>30514074297.87594</v>
      </c>
      <c r="C6" s="18">
        <f>B6*(1+C5)</f>
        <v>33169774153.264687</v>
      </c>
      <c r="D6" s="18">
        <f>C6*(1+D5)</f>
        <v>36056604786.309135</v>
      </c>
      <c r="E6" s="18">
        <f>D6*(1+E5)</f>
        <v>39194681962.829475</v>
      </c>
      <c r="F6" s="18">
        <f>E6*(1+F5)</f>
        <v>42605872163.27871</v>
      </c>
    </row>
    <row r="7" spans="1:6" x14ac:dyDescent="0.25">
      <c r="A7" t="s">
        <v>5</v>
      </c>
      <c r="B7" s="10">
        <f>Assumptions!B7</f>
        <v>0.13647011578732063</v>
      </c>
      <c r="C7" s="10">
        <f>Assumptions!B7</f>
        <v>0.13647011578732063</v>
      </c>
      <c r="D7" s="10">
        <f>Assumptions!B7</f>
        <v>0.13647011578732063</v>
      </c>
      <c r="E7" s="10">
        <f>Assumptions!B7</f>
        <v>0.13647011578732063</v>
      </c>
      <c r="F7" s="10">
        <f>Assumptions!B7</f>
        <v>0.13647011578732063</v>
      </c>
    </row>
    <row r="8" spans="1:6" x14ac:dyDescent="0.25">
      <c r="A8" t="s">
        <v>44</v>
      </c>
      <c r="B8" s="18">
        <f>B6*B7</f>
        <v>4164259252.5740337</v>
      </c>
      <c r="C8" s="18">
        <f>C6*C7</f>
        <v>4526682919.335307</v>
      </c>
      <c r="D8" s="18">
        <f>D6*D7</f>
        <v>4920649030.085267</v>
      </c>
      <c r="E8" s="18">
        <f>E6*E7</f>
        <v>5348902785.714546</v>
      </c>
      <c r="F8" s="18">
        <f>F6*F7</f>
        <v>5814428307.342426</v>
      </c>
    </row>
    <row r="9" spans="1:6" x14ac:dyDescent="0.25">
      <c r="A9" t="s">
        <v>45</v>
      </c>
      <c r="B9" s="18">
        <f>B8*(1-Assumptions!B8)</f>
        <v>3360857541.4251223</v>
      </c>
      <c r="C9" s="18">
        <f>C8*(1-Assumptions!B8)</f>
        <v>3653359578.34145</v>
      </c>
      <c r="D9" s="18">
        <f>D8*(1-Assumptions!B8)</f>
        <v>3971318642.3842306</v>
      </c>
      <c r="E9" s="18">
        <f>E8*(1-Assumptions!B8)</f>
        <v>4316950308.654919</v>
      </c>
      <c r="F9" s="18">
        <f>F8*(1-Assumptions!B8)</f>
        <v>4692662978.110315</v>
      </c>
    </row>
    <row r="10" spans="1:6" x14ac:dyDescent="0.25">
      <c r="A10" t="s">
        <v>46</v>
      </c>
      <c r="B10" s="18">
        <f>B6*Assumptions!B9</f>
        <v>588622373.0091952</v>
      </c>
      <c r="C10" s="18">
        <f>C6*Assumptions!B9</f>
        <v>639851334.9504694</v>
      </c>
      <c r="D10" s="18">
        <f>D6*Assumptions!B9</f>
        <v>695538854.1296616</v>
      </c>
      <c r="E10" s="18">
        <f>E6*Assumptions!B9</f>
        <v>756072967.5455805</v>
      </c>
      <c r="F10" s="18">
        <f>F6*Assumptions!B9</f>
        <v>821875483.8196497</v>
      </c>
    </row>
    <row r="11" spans="1:6" x14ac:dyDescent="0.25">
      <c r="A11" t="s">
        <v>47</v>
      </c>
      <c r="B11" s="18">
        <f>-B6*Assumptions!B10</f>
        <v>-588622373.0091952</v>
      </c>
      <c r="C11" s="18">
        <f>-C6*Assumptions!B10</f>
        <v>-639851334.9504694</v>
      </c>
      <c r="D11" s="18">
        <f>-D6*Assumptions!B10</f>
        <v>-695538854.1296616</v>
      </c>
      <c r="E11" s="18">
        <f>-E6*Assumptions!B10</f>
        <v>-756072967.5455805</v>
      </c>
      <c r="F11" s="18">
        <f>-F6*Assumptions!B10</f>
        <v>-821875483.8196497</v>
      </c>
    </row>
    <row r="12" spans="1:6" x14ac:dyDescent="0.25">
      <c r="A12" t="s">
        <v>48</v>
      </c>
      <c r="B12" s="18">
        <f>-(B6-Assumptions!B29)*Assumptions!B11</f>
        <v>2244674073.3299966</v>
      </c>
      <c r="C12" s="18">
        <f>-(C6-B6)*Assumptions!B11</f>
        <v>2440032469.3850384</v>
      </c>
      <c r="D12" s="18">
        <f>-(D6-C6)*Assumptions!B11</f>
        <v>2652393290.586186</v>
      </c>
      <c r="E12" s="18">
        <f>-(E6-D6)*Assumptions!B11</f>
        <v>2883236291.4087296</v>
      </c>
      <c r="F12" s="18">
        <f>-(F6-E6)*Assumptions!B11</f>
        <v>3134170012.2681165</v>
      </c>
    </row>
    <row r="13" spans="1:6" x14ac:dyDescent="0.25">
      <c r="A13" s="19" t="s">
        <v>49</v>
      </c>
      <c r="B13" s="20">
        <f>B9+B10+B11+B12</f>
        <v>5605531614.755119</v>
      </c>
      <c r="C13" s="20">
        <f>C9+C10+C11+C12</f>
        <v>6093392047.726488</v>
      </c>
      <c r="D13" s="20">
        <f>D9+D10+D11+D12</f>
        <v>6623711932.970417</v>
      </c>
      <c r="E13" s="20">
        <f>E9+E10+E11+E12</f>
        <v>7200186600.063648</v>
      </c>
      <c r="F13" s="20">
        <f>F9+F10+F11+F12</f>
        <v>7826832990.378431</v>
      </c>
    </row>
    <row r="14" spans="1:6" x14ac:dyDescent="0.25">
      <c r="A14" t="s">
        <v>50</v>
      </c>
      <c r="B14" s="21">
        <f>1/(1+Assumptions!$B$26)^(1-0.5*Assumptions!$B$32)</f>
        <v>0.9623061102761838</v>
      </c>
      <c r="C14" s="21">
        <f>1/(1+Assumptions!$B$26)^(2-0.5*Assumptions!$B$32)</f>
        <v>0.8911272622122863</v>
      </c>
      <c r="D14" s="21">
        <f>1/(1+Assumptions!$B$26)^(3-0.5*Assumptions!$B$32)</f>
        <v>0.8252132964530946</v>
      </c>
      <c r="E14" s="21">
        <f>1/(1+Assumptions!$B$26)^(4-0.5*Assumptions!$B$32)</f>
        <v>0.764174785711762</v>
      </c>
      <c r="F14" s="21">
        <f>1/(1+Assumptions!$B$26)^(5-0.5*Assumptions!$B$32)</f>
        <v>0.7076511074501451</v>
      </c>
    </row>
    <row r="15" spans="1:6" x14ac:dyDescent="0.25">
      <c r="A15" s="19" t="s">
        <v>51</v>
      </c>
      <c r="B15" s="20">
        <f>B13*B14</f>
        <v>5394237324.225175</v>
      </c>
      <c r="C15" s="20">
        <f>C13*C14</f>
        <v>5429987773.076623</v>
      </c>
      <c r="D15" s="20">
        <f>D13*D14</f>
        <v>5465975158.962217</v>
      </c>
      <c r="E15" s="20">
        <f>E13*E14</f>
        <v>5502201052.188338</v>
      </c>
      <c r="F15" s="20">
        <f>F13*F14</f>
        <v>5538667033.468628</v>
      </c>
    </row>
    <row r="17" spans="1:2" x14ac:dyDescent="0.25">
      <c r="A17" s="22" t="s">
        <v>52</v>
      </c>
      <c r="B17" s="23">
        <f>SUM(B15:F15)</f>
        <v>27331068341.920982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7826832990.378431</v>
      </c>
    </row>
    <row r="5" spans="1:2" x14ac:dyDescent="0.25">
      <c r="A5" t="s">
        <v>56</v>
      </c>
      <c r="B5" s="18">
        <f>IF(Assumptions!$B$33=0,B4,B4-Forecast!F11-Forecast!F10-Forecast!F12)</f>
        <v>4692662978.110315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0.17828318742650798</v>
      </c>
    </row>
    <row r="7" spans="1:2" x14ac:dyDescent="0.25">
      <c r="A7" t="s">
        <v>58</v>
      </c>
      <c r="B7" s="18">
        <f>-MAX(Forecast!F9,0)*B6</f>
        <v>-836622913.2558764</v>
      </c>
    </row>
    <row r="8" spans="1:2" x14ac:dyDescent="0.25">
      <c r="A8" t="s">
        <v>59</v>
      </c>
      <c r="B8" s="18">
        <f>IF(OR(Assumptions!$B$33=0,Assumptions!B12&lt;=0),B5,MAX(B5+B7,0))</f>
        <v>3856040064.854439</v>
      </c>
    </row>
    <row r="9" spans="1:2" x14ac:dyDescent="0.25">
      <c r="A9" t="s">
        <v>60</v>
      </c>
      <c r="B9" s="18">
        <f>B8*(1+Assumptions!B12)/(Assumptions!B26-Assumptions!B12)</f>
        <v>72026175471.56046</v>
      </c>
    </row>
    <row r="10" spans="1:2" x14ac:dyDescent="0.25">
      <c r="A10" t="s">
        <v>61</v>
      </c>
      <c r="B10" s="18">
        <f>B9/(1+Assumptions!B26)^(5-0.5*Assumptions!B32)</f>
        <v>50969402837.848236</v>
      </c>
    </row>
    <row r="11" spans="1:2" x14ac:dyDescent="0.25">
      <c r="A11" t="s">
        <v>62</v>
      </c>
      <c r="B11" s="18">
        <f>Forecast!B17+B10</f>
        <v>78300471179.76923</v>
      </c>
    </row>
    <row r="12" spans="1:2" x14ac:dyDescent="0.25">
      <c r="A12" t="s">
        <v>63</v>
      </c>
      <c r="B12" s="18">
        <f>-Assumptions!B30</f>
        <v>17779000000</v>
      </c>
    </row>
    <row r="13" spans="1:2" x14ac:dyDescent="0.25">
      <c r="A13" t="s">
        <v>64</v>
      </c>
      <c r="B13" s="18">
        <f>B11+B12</f>
        <v>96079471179.76923</v>
      </c>
    </row>
    <row r="14" spans="1:2" x14ac:dyDescent="0.25">
      <c r="A14" s="19" t="s">
        <v>65</v>
      </c>
      <c r="B14" s="24">
        <f>B13/Assumptions!B31</f>
        <v>335.35592034823463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6636303791.162076</v>
      </c>
    </row>
    <row r="18" spans="1:2" x14ac:dyDescent="0.25">
      <c r="A18" t="s">
        <v>60</v>
      </c>
      <c r="B18" s="18">
        <f>B17*Assumptions!B13</f>
        <v>23098749259.24692</v>
      </c>
    </row>
    <row r="19" spans="1:2" x14ac:dyDescent="0.25">
      <c r="A19" t="s">
        <v>61</v>
      </c>
      <c r="B19" s="18">
        <f>B18/(1+Assumptions!B26)^(5-0.5*Assumptions!B32)</f>
        <v>16345855494.019304</v>
      </c>
    </row>
    <row r="20" spans="1:2" x14ac:dyDescent="0.25">
      <c r="A20" t="s">
        <v>62</v>
      </c>
      <c r="B20" s="18">
        <f>Forecast!B17+B19</f>
        <v>43676923835.940285</v>
      </c>
    </row>
    <row r="21" spans="1:2" x14ac:dyDescent="0.25">
      <c r="A21" t="s">
        <v>63</v>
      </c>
      <c r="B21" s="18">
        <f>-Assumptions!B30</f>
        <v>17779000000</v>
      </c>
    </row>
    <row r="22" spans="1:2" x14ac:dyDescent="0.25">
      <c r="A22" t="s">
        <v>64</v>
      </c>
      <c r="B22" s="18">
        <f>B20+B21</f>
        <v>61455923835.940285</v>
      </c>
    </row>
    <row r="23" spans="1:2" x14ac:dyDescent="0.25">
      <c r="A23" s="19" t="s">
        <v>65</v>
      </c>
      <c r="B23" s="25">
        <f>B22/Assumptions!B31</f>
        <v>214.5058423593029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131.89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335.35592034823463</v>
      </c>
    </row>
    <row r="29" spans="1:2" x14ac:dyDescent="0.25">
      <c r="A29" s="19" t="s">
        <v>73</v>
      </c>
      <c r="B29" s="12">
        <f>B28/B26-1</f>
        <v>1.5426940658748554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0.059875</v>
      </c>
      <c r="B5" s="31">
        <v>416.7453848316183</v>
      </c>
      <c r="C5" s="31">
        <v>438.59091030651825</v>
      </c>
      <c r="D5" s="31">
        <v>466.5714791867938</v>
      </c>
      <c r="E5" s="31">
        <v>503.76744799397267</v>
      </c>
      <c r="F5" s="31">
        <v>555.7358418096044</v>
      </c>
    </row>
    <row r="6" spans="1:6" x14ac:dyDescent="0.25">
      <c r="A6" s="30">
        <v>0.069875</v>
      </c>
      <c r="B6" s="31">
        <v>359.360317222199</v>
      </c>
      <c r="C6" s="31">
        <v>371.64308063461266</v>
      </c>
      <c r="D6" s="31">
        <v>386.56691455935794</v>
      </c>
      <c r="E6" s="31">
        <v>405.1253251452742</v>
      </c>
      <c r="F6" s="31">
        <v>428.8815711713599</v>
      </c>
    </row>
    <row r="7" spans="1:6" x14ac:dyDescent="0.25">
      <c r="A7" s="30">
        <v>0.079875</v>
      </c>
      <c r="B7" s="31">
        <v>319.3977319184142</v>
      </c>
      <c r="C7" s="31">
        <v>326.74515157702103</v>
      </c>
      <c r="D7" s="32">
        <v>335.3561940330293</v>
      </c>
      <c r="E7" s="31">
        <v>345.6108962179883</v>
      </c>
      <c r="F7" s="31">
        <v>358.0586708546672</v>
      </c>
    </row>
    <row r="8" spans="1:6" x14ac:dyDescent="0.25">
      <c r="A8" s="30">
        <v>0.089875</v>
      </c>
      <c r="B8" s="31">
        <v>289.89107810510814</v>
      </c>
      <c r="C8" s="31">
        <v>294.4463857725064</v>
      </c>
      <c r="D8" s="31">
        <v>299.6427432382209</v>
      </c>
      <c r="E8" s="31">
        <v>305.6407475289694</v>
      </c>
      <c r="F8" s="31">
        <v>312.6595276174269</v>
      </c>
    </row>
    <row r="9" spans="1:6" x14ac:dyDescent="0.25">
      <c r="A9" s="30">
        <v>0.099875</v>
      </c>
      <c r="B9" s="31">
        <v>267.15615545782333</v>
      </c>
      <c r="C9" s="31">
        <v>270.0278420473818</v>
      </c>
      <c r="D9" s="31">
        <v>273.23223721892185</v>
      </c>
      <c r="E9" s="31">
        <v>276.8407632082893</v>
      </c>
      <c r="F9" s="31">
        <v>280.9468606670048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28071000000</v>
      </c>
      <c r="C5" s="18">
        <v>26384000000</v>
      </c>
      <c r="D5" s="18">
        <v>24330000000</v>
      </c>
      <c r="E5" s="18">
        <v>21854000000</v>
      </c>
      <c r="F5" s="8" t="s">
        <v>84</v>
      </c>
    </row>
    <row r="6" spans="1:6" x14ac:dyDescent="0.25">
      <c r="A6" t="s">
        <v>44</v>
      </c>
      <c r="B6" s="18">
        <v>4760000000</v>
      </c>
      <c r="C6" s="18">
        <v>3849000000</v>
      </c>
      <c r="D6" s="18">
        <v>3088000000</v>
      </c>
      <c r="E6" s="18">
        <v>2262000000</v>
      </c>
      <c r="F6" s="8" t="s">
        <v>85</v>
      </c>
    </row>
    <row r="7" spans="1:6" x14ac:dyDescent="0.25">
      <c r="A7" t="s">
        <v>86</v>
      </c>
      <c r="B7" s="18">
        <v>396000000</v>
      </c>
      <c r="C7" s="18">
        <v>356000000</v>
      </c>
      <c r="D7" s="18">
        <v>510000000</v>
      </c>
      <c r="E7" s="18">
        <v>625000000</v>
      </c>
      <c r="F7" s="8" t="s">
        <v>87</v>
      </c>
    </row>
    <row r="8" spans="1:6" x14ac:dyDescent="0.25">
      <c r="A8" t="s">
        <v>88</v>
      </c>
      <c r="B8" s="18">
        <v>169000000</v>
      </c>
      <c r="C8" s="18">
        <v>145000000</v>
      </c>
      <c r="D8" s="18">
        <v>215000000</v>
      </c>
      <c r="E8" s="18">
        <v>175000000</v>
      </c>
      <c r="F8" s="8" t="s">
        <v>89</v>
      </c>
    </row>
    <row r="9" spans="1:6" x14ac:dyDescent="0.25">
      <c r="A9" t="s">
        <v>90</v>
      </c>
      <c r="B9" s="18">
        <v>-1550000000</v>
      </c>
      <c r="C9" s="18">
        <v>-2178000000</v>
      </c>
      <c r="D9" s="18">
        <v>-920000000</v>
      </c>
      <c r="E9" s="18">
        <v>-934000000</v>
      </c>
      <c r="F9" s="8" t="s">
        <v>91</v>
      </c>
    </row>
    <row r="10" spans="1:6" x14ac:dyDescent="0.25">
      <c r="A10" t="s">
        <v>92</v>
      </c>
      <c r="B10" s="18">
        <v>4371000000</v>
      </c>
      <c r="C10" s="18">
        <v>4366000000</v>
      </c>
      <c r="D10" s="18">
        <v>4362000000</v>
      </c>
      <c r="E10" s="18">
        <v>4357000000</v>
      </c>
      <c r="F10" s="8" t="s">
        <v>93</v>
      </c>
    </row>
    <row r="11" spans="1:6" x14ac:dyDescent="0.25">
      <c r="A11" t="s">
        <v>94</v>
      </c>
      <c r="B11" s="18">
        <v>22150000000</v>
      </c>
      <c r="C11" s="18">
        <v>20702000000</v>
      </c>
      <c r="D11" s="18">
        <v>19299000000</v>
      </c>
      <c r="E11" s="18">
        <v>40319000000</v>
      </c>
      <c r="F11" s="8" t="s">
        <v>95</v>
      </c>
    </row>
    <row r="12" spans="1:6" x14ac:dyDescent="0.25">
      <c r="A12" t="s">
        <v>32</v>
      </c>
      <c r="B12" s="34">
        <v>286500000</v>
      </c>
      <c r="C12" s="34">
        <v>298600000</v>
      </c>
      <c r="D12" s="34">
        <v>311500000</v>
      </c>
      <c r="E12" s="34">
        <v>329779412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2026-09-19T01:04:54Z</dcterms:modified>
</cp:coreProperties>
</file>