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<sst xmlns="http://schemas.openxmlformats.org/spreadsheetml/2006/main" count="111" uniqueCount="99">
  <si>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Huntington Ingalls Industries, Inc. (HII)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</si>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</sst>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0.05353361774943943</v>
      </c>
    </row>
    <row r="7" spans="1:2" x14ac:dyDescent="0.25">
      <c r="A7" t="s">
        <v>5</v>
      </c>
      <c r="B7" s="6">
        <v>0.0511142843424896</v>
      </c>
    </row>
    <row r="8" spans="1:2" x14ac:dyDescent="0.25">
      <c r="A8" t="s">
        <v>6</v>
      </c>
      <c r="B8" s="6">
        <v>0.19817807394991416</v>
      </c>
    </row>
    <row r="9" spans="1:2" x14ac:dyDescent="0.25">
      <c r="A9" t="s">
        <v>7</v>
      </c>
      <c r="B9" s="6">
        <v>0.029610949139580872</v>
      </c>
    </row>
    <row r="10" spans="1:2" x14ac:dyDescent="0.25">
      <c r="A10" t="s">
        <v>8</v>
      </c>
      <c r="B10" s="6">
        <v>0.029028107509550455</v>
      </c>
    </row>
    <row r="11" spans="1:2" x14ac:dyDescent="0.25">
      <c r="A11" t="s">
        <v>9</v>
      </c>
      <c r="B11" s="6">
        <v>-0.01685985247629083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13.724402723404255</v>
      </c>
    </row>
    <row r="14" spans="1:3" x14ac:dyDescent="0.25">
      <c r="A14" t="s">
        <v>12</v>
      </c>
      <c r="B14" s="6">
        <v>0.06865230001156386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0.48075</v>
      </c>
      <c r="C19" s="8" t="s">
        <v>19</v>
      </c>
    </row>
    <row r="20" spans="1:2" x14ac:dyDescent="0.25">
      <c r="A20" t="s">
        <v>20</v>
      </c>
      <c r="B20" s="10">
        <f>B17+B19*B18</f>
        <v>0.07642125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10751938560</v>
      </c>
    </row>
    <row r="23" spans="1:2" x14ac:dyDescent="0.25">
      <c r="A23" t="s">
        <v>24</v>
      </c>
      <c r="B23" s="11">
        <v>2923000000</v>
      </c>
    </row>
    <row r="24" spans="1:2" x14ac:dyDescent="0.25">
      <c r="A24" t="s">
        <v>25</v>
      </c>
      <c r="B24" s="10">
        <f>B22/(B22+B23)</f>
        <v>0.786251324846903</v>
      </c>
    </row>
    <row r="25" spans="1:2" x14ac:dyDescent="0.25">
      <c r="A25" t="s">
        <v>26</v>
      </c>
      <c r="B25" s="10">
        <f>1-B24</f>
        <v>0.21374867515309703</v>
      </c>
    </row>
    <row r="26" spans="1:2" x14ac:dyDescent="0.25">
      <c r="A26" t="s">
        <v>27</v>
      </c>
      <c r="B26" s="12">
        <f>B24*B20+B25*B21*(1-B8)</f>
        <v>0.06865230001156386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12484000000</v>
      </c>
      <c r="C29" s="8" t="s">
        <v>30</v>
      </c>
    </row>
    <row r="30" spans="1:2" x14ac:dyDescent="0.25">
      <c r="A30" t="s">
        <v>31</v>
      </c>
      <c r="B30" s="11">
        <v>2149000000</v>
      </c>
    </row>
    <row r="31" spans="1:2" x14ac:dyDescent="0.25">
      <c r="A31" t="s">
        <v>32</v>
      </c>
      <c r="B31" s="13">
        <v>39300000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0.05353361774943943</v>
      </c>
      <c r="C5" s="10">
        <f>Assumptions!B6</f>
        <v>0.05353361774943943</v>
      </c>
      <c r="D5" s="10">
        <f>Assumptions!B6</f>
        <v>0.05353361774943943</v>
      </c>
      <c r="E5" s="10">
        <f>Assumptions!B6</f>
        <v>0.05353361774943943</v>
      </c>
      <c r="F5" s="10">
        <f>Assumptions!B6</f>
        <v>0.05353361774943943</v>
      </c>
    </row>
    <row r="6" spans="1:6" x14ac:dyDescent="0.25">
      <c r="A6" t="s">
        <v>43</v>
      </c>
      <c r="B6" s="18">
        <f>Assumptions!B29*(1+B5)</f>
        <v>13152313683.984001</v>
      </c>
      <c r="C6" s="18">
        <f>B6*(1+C5)</f>
        <v>13856404617.263123</v>
      </c>
      <c r="D6" s="18">
        <f>C6*(1+D5)</f>
        <v>14598188085.425255</v>
      </c>
      <c r="E6" s="18">
        <f>D6*(1+E5)</f>
        <v>15379681906.22483</v>
      </c>
      <c r="F6" s="18">
        <f>E6*(1+F5)</f>
        <v>16203011918.50064</v>
      </c>
    </row>
    <row r="7" spans="1:6" x14ac:dyDescent="0.25">
      <c r="A7" t="s">
        <v>5</v>
      </c>
      <c r="B7" s="10">
        <f>Assumptions!B7</f>
        <v>0.0511142843424896</v>
      </c>
      <c r="C7" s="10">
        <f>Assumptions!B7</f>
        <v>0.0511142843424896</v>
      </c>
      <c r="D7" s="10">
        <f>Assumptions!B7</f>
        <v>0.0511142843424896</v>
      </c>
      <c r="E7" s="10">
        <f>Assumptions!B7</f>
        <v>0.0511142843424896</v>
      </c>
      <c r="F7" s="10">
        <f>Assumptions!B7</f>
        <v>0.0511142843424896</v>
      </c>
    </row>
    <row r="8" spans="1:6" x14ac:dyDescent="0.25">
      <c r="A8" t="s">
        <v>44</v>
      </c>
      <c r="B8" s="18">
        <f>B6*B7</f>
        <v>672271101.4047751</v>
      </c>
      <c r="C8" s="18">
        <f>C6*C7</f>
        <v>708260205.5713731</v>
      </c>
      <c r="D8" s="18">
        <f>D6*D7</f>
        <v>746175936.6835704</v>
      </c>
      <c r="E8" s="18">
        <f>E6*E7</f>
        <v>786121434.0518185</v>
      </c>
      <c r="F8" s="18">
        <f>F6*F7</f>
        <v>828205358.4069897</v>
      </c>
    </row>
    <row r="9" spans="1:6" x14ac:dyDescent="0.25">
      <c r="A9" t="s">
        <v>45</v>
      </c>
      <c r="B9" s="18">
        <f>B8*(1-Assumptions!B8)</f>
        <v>539041709.3561894</v>
      </c>
      <c r="C9" s="18">
        <f>C8*(1-Assumptions!B8)</f>
        <v>567898562.1758682</v>
      </c>
      <c r="D9" s="18">
        <f>D8*(1-Assumptions!B8)</f>
        <v>598300226.7238473</v>
      </c>
      <c r="E9" s="18">
        <f>E8*(1-Assumptions!B8)</f>
        <v>630329402.3606846</v>
      </c>
      <c r="F9" s="18">
        <f>F8*(1-Assumptions!B8)</f>
        <v>664073215.6428941</v>
      </c>
    </row>
    <row r="10" spans="1:6" x14ac:dyDescent="0.25">
      <c r="A10" t="s">
        <v>46</v>
      </c>
      <c r="B10" s="18">
        <f>B6*Assumptions!B9</f>
        <v>389452491.56426376</v>
      </c>
      <c r="C10" s="18">
        <f>C6*Assumptions!B9</f>
        <v>410301292.37923187</v>
      </c>
      <c r="D10" s="18">
        <f>D6*Assumptions!B9</f>
        <v>432266204.9275627</v>
      </c>
      <c r="E10" s="18">
        <f>E6*Assumptions!B9</f>
        <v>455406978.70815563</v>
      </c>
      <c r="F10" s="18">
        <f>F6*Assumptions!B9</f>
        <v>479786561.82674515</v>
      </c>
    </row>
    <row r="11" spans="1:6" x14ac:dyDescent="0.25">
      <c r="A11" t="s">
        <v>47</v>
      </c>
      <c r="B11" s="18">
        <f>-B6*Assumptions!B10</f>
        <v>-381786775.61801916</v>
      </c>
      <c r="C11" s="18">
        <f>-C6*Assumptions!B10</f>
        <v>-402225202.92574525</v>
      </c>
      <c r="D11" s="18">
        <f>-D6*Assumptions!B10</f>
        <v>-423757773.18836284</v>
      </c>
      <c r="E11" s="18">
        <f>-E6*Assumptions!B10</f>
        <v>-446443059.83658224</v>
      </c>
      <c r="F11" s="18">
        <f>-F6*Assumptions!B10</f>
        <v>-470342771.94876397</v>
      </c>
    </row>
    <row r="12" spans="1:6" x14ac:dyDescent="0.25">
      <c r="A12" t="s">
        <v>48</v>
      </c>
      <c r="B12" s="18">
        <f>-(B6-Assumptions!B29)*Assumptions!B11</f>
        <v>11267670.11985671</v>
      </c>
      <c r="C12" s="18">
        <f>-(C6-B6)*Assumptions!B11</f>
        <v>11870869.264979918</v>
      </c>
      <c r="D12" s="18">
        <f>-(D6-C6)*Assumptions!B11</f>
        <v>12506359.842564927</v>
      </c>
      <c r="E12" s="18">
        <f>-(E6-D6)*Assumptions!B11</f>
        <v>13175870.52981371</v>
      </c>
      <c r="F12" s="18">
        <f>-(F6-E6)*Assumptions!B11</f>
        <v>13881222.54627288</v>
      </c>
    </row>
    <row r="13" spans="1:6" x14ac:dyDescent="0.25">
      <c r="A13" s="19" t="s">
        <v>49</v>
      </c>
      <c r="B13" s="20">
        <f>B9+B10+B11+B12</f>
        <v>557975095.4222907</v>
      </c>
      <c r="C13" s="20">
        <f>C9+C10+C11+C12</f>
        <v>587845520.8943347</v>
      </c>
      <c r="D13" s="20">
        <f>D9+D10+D11+D12</f>
        <v>619315018.3056121</v>
      </c>
      <c r="E13" s="20">
        <f>E9+E10+E11+E12</f>
        <v>652469191.7620718</v>
      </c>
      <c r="F13" s="20">
        <f>F9+F10+F11+F12</f>
        <v>687398228.0671482</v>
      </c>
    </row>
    <row r="14" spans="1:6" x14ac:dyDescent="0.25">
      <c r="A14" t="s">
        <v>50</v>
      </c>
      <c r="B14" s="21">
        <f>1/(1+Assumptions!$B$26)^(1-0.5*Assumptions!$B$32)</f>
        <v>0.9673458828795828</v>
      </c>
      <c r="C14" s="21">
        <f>1/(1+Assumptions!$B$26)^(2-0.5*Assumptions!$B$32)</f>
        <v>0.905201703930376</v>
      </c>
      <c r="D14" s="21">
        <f>1/(1+Assumptions!$B$26)^(3-0.5*Assumptions!$B$32)</f>
        <v>0.847049787775295</v>
      </c>
      <c r="E14" s="21">
        <f>1/(1+Assumptions!$B$26)^(4-0.5*Assumptions!$B$32)</f>
        <v>0.7926336636959741</v>
      </c>
      <c r="F14" s="21">
        <f>1/(1+Assumptions!$B$26)^(5-0.5*Assumptions!$B$32)</f>
        <v>0.7417133371512858</v>
      </c>
    </row>
    <row r="15" spans="1:6" x14ac:dyDescent="0.25">
      <c r="A15" s="19" t="s">
        <v>51</v>
      </c>
      <c r="B15" s="20">
        <f>B13*B14</f>
        <v>539754911.3060952</v>
      </c>
      <c r="C15" s="20">
        <f>C13*C14</f>
        <v>532118767.1613912</v>
      </c>
      <c r="D15" s="20">
        <f>D13*D14</f>
        <v>524590654.8218217</v>
      </c>
      <c r="E15" s="20">
        <f>E13*E14</f>
        <v>517169045.9151221</v>
      </c>
      <c r="F15" s="20">
        <f>F13*F14</f>
        <v>509852433.69156516</v>
      </c>
    </row>
    <row r="17" spans="1:2" x14ac:dyDescent="0.25">
      <c r="A17" s="22" t="s">
        <v>52</v>
      </c>
      <c r="B17" s="23">
        <f>SUM(B15:F15)</f>
        <v>2623485812.895995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687398228.0671482</v>
      </c>
    </row>
    <row r="5" spans="1:2" x14ac:dyDescent="0.25">
      <c r="A5" t="s">
        <v>56</v>
      </c>
      <c r="B5" s="18">
        <f>IF(Assumptions!$B$33=0,B4,B4-Forecast!F11-Forecast!F10-Forecast!F12)</f>
        <v>800712027.8498325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0.364153859314094</v>
      </c>
    </row>
    <row r="7" spans="1:2" x14ac:dyDescent="0.25">
      <c r="A7" t="s">
        <v>58</v>
      </c>
      <c r="B7" s="18">
        <f>-MAX(Forecast!F9,0)*B6</f>
        <v>-291582375.14073086</v>
      </c>
    </row>
    <row r="8" spans="1:2" x14ac:dyDescent="0.25">
      <c r="A8" t="s">
        <v>59</v>
      </c>
      <c r="B8" s="18">
        <f>IF(OR(Assumptions!$B$33=0,Assumptions!B12&lt;=0),B5,MAX(B5+B7,0))</f>
        <v>509129652.7091017</v>
      </c>
    </row>
    <row r="9" spans="1:2" x14ac:dyDescent="0.25">
      <c r="A9" t="s">
        <v>60</v>
      </c>
      <c r="B9" s="18">
        <f>B8*(1+Assumptions!B12)/(Assumptions!B26-Assumptions!B12)</f>
        <v>11954877380.769962</v>
      </c>
    </row>
    <row r="10" spans="1:2" x14ac:dyDescent="0.25">
      <c r="A10" t="s">
        <v>61</v>
      </c>
      <c r="B10" s="18">
        <f>B9/(1+Assumptions!B26)^(5-0.5*Assumptions!B32)</f>
        <v>8867091997.325312</v>
      </c>
    </row>
    <row r="11" spans="1:2" x14ac:dyDescent="0.25">
      <c r="A11" t="s">
        <v>62</v>
      </c>
      <c r="B11" s="18">
        <f>Forecast!B17+B10</f>
        <v>11490577810.221306</v>
      </c>
    </row>
    <row r="12" spans="1:2" x14ac:dyDescent="0.25">
      <c r="A12" t="s">
        <v>63</v>
      </c>
      <c r="B12" s="18">
        <f>-Assumptions!B30</f>
        <v>-2149000000</v>
      </c>
    </row>
    <row r="13" spans="1:2" x14ac:dyDescent="0.25">
      <c r="A13" t="s">
        <v>64</v>
      </c>
      <c r="B13" s="18">
        <f>B11+B12</f>
        <v>9341577810.221306</v>
      </c>
    </row>
    <row r="14" spans="1:2" x14ac:dyDescent="0.25">
      <c r="A14" s="19" t="s">
        <v>65</v>
      </c>
      <c r="B14" s="24">
        <f>B13/Assumptions!B31</f>
        <v>237.69918092166174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1307991920.2337348</v>
      </c>
    </row>
    <row r="18" spans="1:2" x14ac:dyDescent="0.25">
      <c r="A18" t="s">
        <v>60</v>
      </c>
      <c r="B18" s="18">
        <f>B17*Assumptions!B13</f>
        <v>17951407872.24663</v>
      </c>
    </row>
    <row r="19" spans="1:2" x14ac:dyDescent="0.25">
      <c r="A19" t="s">
        <v>61</v>
      </c>
      <c r="B19" s="18">
        <f>B18/(1+Assumptions!B26)^(5-0.5*Assumptions!B32)</f>
        <v>13314798639.487913</v>
      </c>
    </row>
    <row r="20" spans="1:2" x14ac:dyDescent="0.25">
      <c r="A20" t="s">
        <v>62</v>
      </c>
      <c r="B20" s="18">
        <f>Forecast!B17+B19</f>
        <v>15938284452.383907</v>
      </c>
    </row>
    <row r="21" spans="1:2" x14ac:dyDescent="0.25">
      <c r="A21" t="s">
        <v>63</v>
      </c>
      <c r="B21" s="18">
        <f>-Assumptions!B30</f>
        <v>-2149000000</v>
      </c>
    </row>
    <row r="22" spans="1:2" x14ac:dyDescent="0.25">
      <c r="A22" t="s">
        <v>64</v>
      </c>
      <c r="B22" s="18">
        <f>B20+B21</f>
        <v>13789284452.383907</v>
      </c>
    </row>
    <row r="23" spans="1:2" x14ac:dyDescent="0.25">
      <c r="A23" s="19" t="s">
        <v>65</v>
      </c>
      <c r="B23" s="25">
        <f>B22/Assumptions!B31</f>
        <v>350.87237792325465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272.86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237.69918092166174</v>
      </c>
    </row>
    <row r="29" spans="1:2" x14ac:dyDescent="0.25">
      <c r="A29" s="19" t="s">
        <v>73</v>
      </c>
      <c r="B29" s="12">
        <f>B28/B26-1</f>
        <v>-0.12886029127881804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0.048652</v>
      </c>
      <c r="B5" s="31">
        <v>395.10143600155567</v>
      </c>
      <c r="C5" s="31">
        <v>417.7700817765368</v>
      </c>
      <c r="D5" s="31">
        <v>449.4789188449712</v>
      </c>
      <c r="E5" s="31">
        <v>497.49809890114403</v>
      </c>
      <c r="F5" s="31">
        <v>579.7484500153795</v>
      </c>
    </row>
    <row r="6" spans="1:6" x14ac:dyDescent="0.25">
      <c r="A6" s="30">
        <v>0.058652</v>
      </c>
      <c r="B6" s="31">
        <v>294.2097835401613</v>
      </c>
      <c r="C6" s="31">
        <v>299.5262025718691</v>
      </c>
      <c r="D6" s="31">
        <v>306.05605137394497</v>
      </c>
      <c r="E6" s="31">
        <v>314.43458914489247</v>
      </c>
      <c r="F6" s="31">
        <v>325.8342467376235</v>
      </c>
    </row>
    <row r="7" spans="1:6" x14ac:dyDescent="0.25">
      <c r="A7" s="30">
        <v>0.068652</v>
      </c>
      <c r="B7" s="31">
        <v>235.49925903614505</v>
      </c>
      <c r="C7" s="31">
        <v>236.5998786537045</v>
      </c>
      <c r="D7" s="32">
        <v>237.70049827126402</v>
      </c>
      <c r="E7" s="31">
        <v>238.8011178888235</v>
      </c>
      <c r="F7" s="31">
        <v>239.90173750638297</v>
      </c>
    </row>
    <row r="8" spans="1:6" x14ac:dyDescent="0.25">
      <c r="A8" s="30">
        <v>0.078652</v>
      </c>
      <c r="B8" s="31">
        <v>197.5739330513454</v>
      </c>
      <c r="C8" s="31">
        <v>198.49518399752847</v>
      </c>
      <c r="D8" s="31">
        <v>199.41643494371144</v>
      </c>
      <c r="E8" s="31">
        <v>200.33768588989452</v>
      </c>
      <c r="F8" s="31">
        <v>201.2589368360775</v>
      </c>
    </row>
    <row r="9" spans="1:6" x14ac:dyDescent="0.25">
      <c r="A9" s="30">
        <v>0.088652</v>
      </c>
      <c r="B9" s="31">
        <v>168.2749468326243</v>
      </c>
      <c r="C9" s="31">
        <v>169.0590341550889</v>
      </c>
      <c r="D9" s="31">
        <v>169.84312147755338</v>
      </c>
      <c r="E9" s="31">
        <v>170.62720880001797</v>
      </c>
      <c r="F9" s="31">
        <v>171.4112961224825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12484000000</v>
      </c>
      <c r="C5" s="18">
        <v>11535000000</v>
      </c>
      <c r="D5" s="18">
        <v>11454000000</v>
      </c>
      <c r="E5" s="18">
        <v>10676000000</v>
      </c>
      <c r="F5" s="8" t="s">
        <v>84</v>
      </c>
    </row>
    <row r="6" spans="1:6" x14ac:dyDescent="0.25">
      <c r="A6" t="s">
        <v>44</v>
      </c>
      <c r="B6" s="18">
        <v>611000000</v>
      </c>
      <c r="C6" s="18">
        <v>486000000</v>
      </c>
      <c r="D6" s="18">
        <v>744000000</v>
      </c>
      <c r="E6" s="18">
        <v>517000000</v>
      </c>
      <c r="F6" s="8" t="s">
        <v>85</v>
      </c>
    </row>
    <row r="7" spans="1:6" x14ac:dyDescent="0.25">
      <c r="A7" t="s">
        <v>86</v>
      </c>
      <c r="B7" s="18">
        <v>329000000</v>
      </c>
      <c r="C7" s="18">
        <v>326000000</v>
      </c>
      <c r="D7" s="18">
        <v>347000000</v>
      </c>
      <c r="E7" s="18">
        <v>358000000</v>
      </c>
      <c r="F7" s="8" t="s">
        <v>87</v>
      </c>
    </row>
    <row r="8" spans="1:6" x14ac:dyDescent="0.25">
      <c r="A8" t="s">
        <v>88</v>
      </c>
      <c r="B8" s="18">
        <v>402000000</v>
      </c>
      <c r="C8" s="18">
        <v>367000000</v>
      </c>
      <c r="D8" s="18">
        <v>292000000</v>
      </c>
      <c r="E8" s="18">
        <v>284000000</v>
      </c>
      <c r="F8" s="8" t="s">
        <v>89</v>
      </c>
    </row>
    <row r="9" spans="1:6" x14ac:dyDescent="0.25">
      <c r="A9" t="s">
        <v>90</v>
      </c>
      <c r="B9" s="18">
        <v>-16000000</v>
      </c>
      <c r="C9" s="18">
        <v>372000000</v>
      </c>
      <c r="D9" s="18">
        <v>-15000000</v>
      </c>
      <c r="E9" s="18">
        <v>249000000</v>
      </c>
      <c r="F9" s="8" t="s">
        <v>91</v>
      </c>
    </row>
    <row r="10" spans="1:6" x14ac:dyDescent="0.25">
      <c r="A10" t="s">
        <v>92</v>
      </c>
      <c r="B10" s="18">
        <v>2923000000</v>
      </c>
      <c r="C10" s="18">
        <v>3408000000</v>
      </c>
      <c r="D10" s="18">
        <v>2673000000</v>
      </c>
      <c r="E10" s="18">
        <v>3151000000</v>
      </c>
      <c r="F10" s="8" t="s">
        <v>93</v>
      </c>
    </row>
    <row r="11" spans="1:6" x14ac:dyDescent="0.25">
      <c r="A11" t="s">
        <v>94</v>
      </c>
      <c r="B11" s="18">
        <v>774000000</v>
      </c>
      <c r="C11" s="18">
        <v>831000000</v>
      </c>
      <c r="D11" s="18">
        <v>430000000</v>
      </c>
      <c r="E11" s="18">
        <v>467000000</v>
      </c>
      <c r="F11" s="8" t="s">
        <v>95</v>
      </c>
    </row>
    <row r="12" spans="1:6" x14ac:dyDescent="0.25">
      <c r="A12" t="s">
        <v>32</v>
      </c>
      <c r="B12" s="34">
        <v>39300000</v>
      </c>
      <c r="C12" s="34">
        <v>39400000</v>
      </c>
      <c r="D12" s="34">
        <v>39900000</v>
      </c>
      <c r="E12" s="34">
        <v>40100000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2026-09-19T01:03:27Z</dcterms:modified>
</cp:coreProperties>
</file>