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<sst xmlns="http://schemas.openxmlformats.org/spreadsheetml/2006/main" count="119" uniqueCount="106">
  <si>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Huntington Ingalls Industries, Inc. (HII)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</si>
  <si>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</si>
  <si>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</si>
  <si>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</si>
  <si>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</si>
  <si>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</si>
  <si>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</si>
  <si>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</si>
  <si>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</si>
  <si>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</si>
  <si>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</si>
  <si>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</si>
  <si>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</si>
  <si>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</si>
  <si>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</si>
  <si>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</si>
  <si>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</si>
  <si>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</si>
  <si>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</si>
  <si>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</si>
  <si>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</si>
  <si>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</si>
  <si>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</si>
  <si>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</si>
  <si>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+ 70bp, the spread for a A+ rating at 5.8x interest cover. Book interest / average debt was lower, at 3.3%.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</si>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</sst>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0.08013807914130089</v>
      </c>
    </row>
    <row r="7" spans="1:2" x14ac:dyDescent="0.25">
      <c r="A7" t="s">
        <v>4</v>
      </c>
      <c r="B7" s="5">
        <v>0.0511142843424896</v>
      </c>
    </row>
    <row r="8" spans="1:2" x14ac:dyDescent="0.25">
      <c r="A8" t="s">
        <v>5</v>
      </c>
      <c r="B8" s="5">
        <v>0.19817807394991416</v>
      </c>
    </row>
    <row r="9" spans="1:2" x14ac:dyDescent="0.25">
      <c r="A9" t="s">
        <v>6</v>
      </c>
      <c r="B9" s="5">
        <v>0.029610949139580872</v>
      </c>
    </row>
    <row r="10" spans="1:3" x14ac:dyDescent="0.25">
      <c r="A10" t="s">
        <v>7</v>
      </c>
      <c r="B10" s="5">
        <v>0.029028107509550455</v>
      </c>
      <c r="C10" s="6" t="s">
        <v>8</v>
      </c>
    </row>
    <row r="11" spans="1:2" x14ac:dyDescent="0.25">
      <c r="A11" t="s">
        <v>9</v>
      </c>
      <c r="B11" s="5">
        <v>0.004139819660627101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15.375688782978724</v>
      </c>
    </row>
    <row r="14" spans="1:3" x14ac:dyDescent="0.25">
      <c r="A14" t="s">
        <v>12</v>
      </c>
      <c r="B14" s="5">
        <v>0.06393025744023981</v>
      </c>
      <c r="C14" s="6" t="s">
        <v>13</v>
      </c>
    </row>
    <row r="15" spans="1:3" x14ac:dyDescent="0.25">
      <c r="A15" t="s">
        <v>14</v>
      </c>
      <c r="B15" s="5">
        <v>0.019093742700823906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0.4284899999999999</v>
      </c>
      <c r="C19" s="6" t="s">
        <v>21</v>
      </c>
    </row>
    <row r="20" spans="1:2" x14ac:dyDescent="0.25">
      <c r="A20" t="s">
        <v>22</v>
      </c>
      <c r="B20" s="9">
        <f>B17+B19*B18</f>
        <v>0.067065127</v>
      </c>
    </row>
    <row r="21" spans="1:3" x14ac:dyDescent="0.25">
      <c r="A21" t="s">
        <v>23</v>
      </c>
      <c r="B21" s="5">
        <v>0.055940000000000004</v>
      </c>
      <c r="C21" s="6" t="s">
        <v>24</v>
      </c>
    </row>
    <row r="22" spans="1:2" x14ac:dyDescent="0.25">
      <c r="A22" t="s">
        <v>25</v>
      </c>
      <c r="B22" s="10">
        <v>12304147456</v>
      </c>
    </row>
    <row r="23" spans="1:2" x14ac:dyDescent="0.25">
      <c r="A23" t="s">
        <v>26</v>
      </c>
      <c r="B23" s="10">
        <v>2923000000</v>
      </c>
    </row>
    <row r="24" spans="1:2" x14ac:dyDescent="0.25">
      <c r="A24" t="s">
        <v>27</v>
      </c>
      <c r="B24" s="9">
        <f>B22/(B22+B23)</f>
        <v>0.808040211835721</v>
      </c>
    </row>
    <row r="25" spans="1:2" x14ac:dyDescent="0.25">
      <c r="A25" t="s">
        <v>28</v>
      </c>
      <c r="B25" s="9">
        <f>1-B24</f>
        <v>0.19195978816427905</v>
      </c>
    </row>
    <row r="26" spans="1:2" x14ac:dyDescent="0.25">
      <c r="A26" t="s">
        <v>29</v>
      </c>
      <c r="B26" s="11">
        <f>B24*B20+B25*B21*(1-B8)</f>
        <v>0.06280146812976806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12484000000</v>
      </c>
      <c r="C29" s="6" t="s">
        <v>32</v>
      </c>
    </row>
    <row r="30" spans="1:2" x14ac:dyDescent="0.25">
      <c r="A30" t="s">
        <v>33</v>
      </c>
      <c r="B30" s="10">
        <v>2149000000</v>
      </c>
    </row>
    <row r="31" spans="1:2" x14ac:dyDescent="0.25">
      <c r="A31" t="s">
        <v>34</v>
      </c>
      <c r="B31" s="12">
        <v>39300000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0.08013807914130089</v>
      </c>
      <c r="C5" s="5">
        <v>0.06382213045201346</v>
      </c>
      <c r="D5" s="5">
        <v>0.05896936414551178</v>
      </c>
      <c r="E5" s="5">
        <v>0.05411659783901009</v>
      </c>
      <c r="F5" s="5">
        <v>0.04926383153250841</v>
      </c>
      <c r="G5" s="5">
        <v>0.04441106522600673</v>
      </c>
      <c r="H5" s="5">
        <v>0.03955829891950505</v>
      </c>
      <c r="I5" s="5">
        <v>0.03470553261300337</v>
      </c>
      <c r="J5" s="5">
        <v>0.02985276630650168</v>
      </c>
      <c r="K5" s="5">
        <v>0.025</v>
      </c>
    </row>
    <row r="6" spans="1:11" x14ac:dyDescent="0.25">
      <c r="A6" t="s">
        <v>50</v>
      </c>
      <c r="B6" s="18">
        <f>Assumptions!B29*(1+B5)</f>
        <v>13484443780</v>
      </c>
      <c r="C6" s="18">
        <f>B6*(1+C5)</f>
        <v>14345049710.000002</v>
      </c>
      <c r="D6" s="18">
        <f>C6*(1+D5)</f>
        <v>15190968170.03446</v>
      </c>
      <c r="E6" s="18">
        <f>D6*(1+E5)</f>
        <v>16013051685.277418</v>
      </c>
      <c r="F6" s="18">
        <f>E6*(1+F5)</f>
        <v>16801915965.822275</v>
      </c>
      <c r="G6" s="18">
        <f>F6*(1+G5)</f>
        <v>17548106951.702293</v>
      </c>
      <c r="H6" s="18">
        <f>G6*(1+H5)</f>
        <v>18242280211.969177</v>
      </c>
      <c r="I6" s="18">
        <f>H6*(1+I5)</f>
        <v>18875388262.80122</v>
      </c>
      <c r="J6" s="18">
        <f>I6*(1+J5)</f>
        <v>19438870817.555107</v>
      </c>
      <c r="K6" s="18">
        <f>J6*(1+K5)</f>
        <v>19924842587.993984</v>
      </c>
    </row>
    <row r="7" spans="1:11" x14ac:dyDescent="0.25">
      <c r="A7" t="s">
        <v>4</v>
      </c>
      <c r="B7" s="9">
        <f>Assumptions!B7</f>
        <v>0.0511142843424896</v>
      </c>
      <c r="C7" s="9">
        <f>Assumptions!B7</f>
        <v>0.0511142843424896</v>
      </c>
      <c r="D7" s="9">
        <f>Assumptions!B7</f>
        <v>0.0511142843424896</v>
      </c>
      <c r="E7" s="9">
        <f>Assumptions!B7</f>
        <v>0.0511142843424896</v>
      </c>
      <c r="F7" s="9">
        <f>Assumptions!B7</f>
        <v>0.0511142843424896</v>
      </c>
      <c r="G7" s="9">
        <f>Assumptions!B7</f>
        <v>0.0511142843424896</v>
      </c>
      <c r="H7" s="9">
        <f>Assumptions!B7</f>
        <v>0.0511142843424896</v>
      </c>
      <c r="I7" s="9">
        <f>Assumptions!B7</f>
        <v>0.0511142843424896</v>
      </c>
      <c r="J7" s="9">
        <f>Assumptions!B7</f>
        <v>0.0511142843424896</v>
      </c>
      <c r="K7" s="9">
        <f>Assumptions!B7</f>
        <v>0.0511142843424896</v>
      </c>
    </row>
    <row r="8" spans="1:11" x14ac:dyDescent="0.25">
      <c r="A8" t="s">
        <v>51</v>
      </c>
      <c r="B8" s="18">
        <f>B6*B7</f>
        <v>689247693.5712353</v>
      </c>
      <c r="C8" s="18">
        <f>C6*C7</f>
        <v>733236949.7840881</v>
      </c>
      <c r="D8" s="18">
        <f>D6*D7</f>
        <v>776475466.4808503</v>
      </c>
      <c r="E8" s="18">
        <f>E6*E7</f>
        <v>818495677.0322523</v>
      </c>
      <c r="F8" s="18">
        <f>F6*F7</f>
        <v>858817910.1756556</v>
      </c>
      <c r="G8" s="18">
        <f>G6*G7</f>
        <v>896958928.4017295</v>
      </c>
      <c r="H8" s="18">
        <f>H6*H7</f>
        <v>932441097.8099641</v>
      </c>
      <c r="I8" s="18">
        <f>I6*I7</f>
        <v>964801962.7397124</v>
      </c>
      <c r="J8" s="18">
        <f>J6*J7</f>
        <v>993603970.2654351</v>
      </c>
      <c r="K8" s="18">
        <f>K6*K7</f>
        <v>1018444069.5220709</v>
      </c>
    </row>
    <row r="9" spans="1:11" x14ac:dyDescent="0.25">
      <c r="A9" t="s">
        <v>52</v>
      </c>
      <c r="B9" s="18">
        <f>B8*(1-Assumptions!B8)</f>
        <v>552653913.1848673</v>
      </c>
      <c r="C9" s="18">
        <f>C8*(1-Assumptions!B8)</f>
        <v>587925463.3269676</v>
      </c>
      <c r="D9" s="18">
        <f>D8*(1-Assumptions!B8)</f>
        <v>622595054.0643142</v>
      </c>
      <c r="E9" s="18">
        <f>E8*(1-Assumptions!B8)</f>
        <v>656287780.2216696</v>
      </c>
      <c r="F9" s="18">
        <f>F8*(1-Assumptions!B8)</f>
        <v>688619030.8633538</v>
      </c>
      <c r="G9" s="18">
        <f>G8*(1-Assumptions!B8)</f>
        <v>719201335.5588957</v>
      </c>
      <c r="H9" s="18">
        <f>H8*(1-Assumptions!B8)</f>
        <v>747651716.9742419</v>
      </c>
      <c r="I9" s="18">
        <f>I8*(1-Assumptions!B8)</f>
        <v>773599368.0208594</v>
      </c>
      <c r="J9" s="18">
        <f>J8*(1-Assumptions!B8)</f>
        <v>796693449.1692433</v>
      </c>
      <c r="K9" s="18">
        <f>K8*(1-Assumptions!B8)</f>
        <v>816610785.3984745</v>
      </c>
    </row>
    <row r="10" spans="1:11" x14ac:dyDescent="0.25">
      <c r="A10" t="s">
        <v>53</v>
      </c>
      <c r="B10" s="18">
        <f>B6*Assumptions!B9</f>
        <v>399287178.94511765</v>
      </c>
      <c r="C10" s="18">
        <f>C6*Assumptions!B9</f>
        <v>424770537.3675694</v>
      </c>
      <c r="D10" s="18">
        <f>D6*Assumptions!B9</f>
        <v>449818985.8638823</v>
      </c>
      <c r="E10" s="18">
        <f>E6*Assumptions!B9</f>
        <v>474161659.0222294</v>
      </c>
      <c r="F10" s="18">
        <f>F6*Assumptions!B9</f>
        <v>497520679.1114752</v>
      </c>
      <c r="G10" s="18">
        <f>G6*Assumptions!B9</f>
        <v>519616102.44278216</v>
      </c>
      <c r="H10" s="18">
        <f>H6*Assumptions!B9</f>
        <v>540171231.5466019</v>
      </c>
      <c r="I10" s="18">
        <f>I6*Assumptions!B9</f>
        <v>558918161.8396487</v>
      </c>
      <c r="J10" s="18">
        <f>J6*Assumptions!B9</f>
        <v>575603415.1095071</v>
      </c>
      <c r="K10" s="18">
        <f>K6*Assumptions!B9</f>
        <v>589993500.4872448</v>
      </c>
    </row>
    <row r="11" spans="1:11" x14ac:dyDescent="0.25">
      <c r="A11" t="s">
        <v>54</v>
      </c>
      <c r="B11" s="18">
        <f>-B6*B19</f>
        <v>-391427883.75232893</v>
      </c>
      <c r="C11" s="18">
        <f>-C6*C19</f>
        <v>-431376946.98444223</v>
      </c>
      <c r="D11" s="18">
        <f>-D6*D19</f>
        <v>-472664885.29637456</v>
      </c>
      <c r="E11" s="18">
        <f>-E6*E19</f>
        <v>-514951558.27176</v>
      </c>
      <c r="F11" s="18">
        <f>-F6*F19</f>
        <v>-557850785.7737098</v>
      </c>
      <c r="G11" s="18">
        <f>-G6*G19</f>
        <v>-600934832.9630805</v>
      </c>
      <c r="H11" s="18">
        <f>-H6*H19</f>
        <v>-643740377.017415</v>
      </c>
      <c r="I11" s="18">
        <f>-I6*I19</f>
        <v>-685775884.6478332</v>
      </c>
      <c r="J11" s="18">
        <f>-J6*J19</f>
        <v>-726530271.8586603</v>
      </c>
      <c r="K11" s="18">
        <f>-K6*K19</f>
        <v>-765482660.6426228</v>
      </c>
    </row>
    <row r="12" spans="1:11" x14ac:dyDescent="0.25">
      <c r="A12" t="s">
        <v>55</v>
      </c>
      <c r="B12" s="18">
        <f>-(B6-Assumptions!B29)*Assumptions!B11</f>
        <v>-4141656.829796094</v>
      </c>
      <c r="C12" s="18">
        <f>-(C6-B6)*Assumptions!B11</f>
        <v>-3562753.3490662784</v>
      </c>
      <c r="D12" s="18">
        <f>-(D6-C6)*Assumptions!B11</f>
        <v>-3501949.8721380504</v>
      </c>
      <c r="E12" s="18">
        <f>-(E6-D6)*Assumptions!B11</f>
        <v>-3403277.499080237</v>
      </c>
      <c r="F12" s="18">
        <f>-(F6-E6)*Assumptions!B11</f>
        <v>-3265755.8581660525</v>
      </c>
      <c r="G12" s="18">
        <f>-(G6-F6)*Assumptions!B11</f>
        <v>-3089096.113928819</v>
      </c>
      <c r="H12" s="18">
        <f>-(H6-G6)*Assumptions!B11</f>
        <v>-2873752.1107344595</v>
      </c>
      <c r="I12" s="18">
        <f>-(I6-H6)*Assumptions!B11</f>
        <v>-2620953.1561357924</v>
      </c>
      <c r="J12" s="18">
        <f>-(J6-I6)*Assumptions!B11</f>
        <v>-2332716.158590529</v>
      </c>
      <c r="K12" s="18">
        <f>-(K6-J6)*Assumptions!B11</f>
        <v>-2011835.4897726236</v>
      </c>
    </row>
    <row r="13" spans="1:11" x14ac:dyDescent="0.25">
      <c r="A13" s="19" t="s">
        <v>56</v>
      </c>
      <c r="B13" s="20">
        <f>B9+B10+B11+B12</f>
        <v>556371551.5478599</v>
      </c>
      <c r="C13" s="20">
        <f>C9+C10+C11+C12</f>
        <v>577756300.3610284</v>
      </c>
      <c r="D13" s="20">
        <f>D9+D10+D11+D12</f>
        <v>596247204.759684</v>
      </c>
      <c r="E13" s="20">
        <f>E9+E10+E11+E12</f>
        <v>612094603.4730587</v>
      </c>
      <c r="F13" s="20">
        <f>F9+F10+F11+F12</f>
        <v>625023168.3429533</v>
      </c>
      <c r="G13" s="20">
        <f>G9+G10+G11+G12</f>
        <v>634793508.9246687</v>
      </c>
      <c r="H13" s="20">
        <f>H9+H10+H11+H12</f>
        <v>641208819.3926942</v>
      </c>
      <c r="I13" s="20">
        <f>I9+I10+I11+I12</f>
        <v>644120692.0565389</v>
      </c>
      <c r="J13" s="20">
        <f>J9+J10+J11+J12</f>
        <v>643433876.2614995</v>
      </c>
      <c r="K13" s="20">
        <f>K9+K10+K11+K12</f>
        <v>639109789.7533238</v>
      </c>
    </row>
    <row r="14" spans="1:11" x14ac:dyDescent="0.25">
      <c r="A14" t="s">
        <v>57</v>
      </c>
      <c r="B14" s="21">
        <f>1/(1+Assumptions!$B$26)^(1-0.5*Assumptions!$B$32)</f>
        <v>0.9700048978758964</v>
      </c>
      <c r="C14" s="21">
        <f>1/(1+Assumptions!$B$26)^(2-0.5*Assumptions!$B$32)</f>
        <v>0.9126868253041016</v>
      </c>
      <c r="D14" s="21">
        <f>1/(1+Assumptions!$B$26)^(3-0.5*Assumptions!$B$32)</f>
        <v>0.8587557061905211</v>
      </c>
      <c r="E14" s="21">
        <f>1/(1+Assumptions!$B$26)^(4-0.5*Assumptions!$B$32)</f>
        <v>0.8080114037682784</v>
      </c>
      <c r="F14" s="21">
        <f>1/(1+Assumptions!$B$26)^(5-0.5*Assumptions!$B$32)</f>
        <v>0.7602656074517391</v>
      </c>
      <c r="G14" s="21">
        <f>1/(1+Assumptions!$B$26)^(6-0.5*Assumptions!$B$32)</f>
        <v>0.7153411340215712</v>
      </c>
      <c r="H14" s="21">
        <f>1/(1+Assumptions!$B$26)^(7-0.5*Assumptions!$B$32)</f>
        <v>0.6730712701031271</v>
      </c>
      <c r="I14" s="21">
        <f>1/(1+Assumptions!$B$26)^(8-0.5*Assumptions!$B$32)</f>
        <v>0.6332991534981066</v>
      </c>
      <c r="J14" s="21">
        <f>1/(1+Assumptions!$B$26)^(9-0.5*Assumptions!$B$32)</f>
        <v>0.5958771910736396</v>
      </c>
      <c r="K14" s="21">
        <f>1/(1+Assumptions!$B$26)^(10-0.5*Assumptions!$B$32)</f>
        <v>0.5606665110485931</v>
      </c>
    </row>
    <row r="15" spans="1:11" x14ac:dyDescent="0.25">
      <c r="A15" s="19" t="s">
        <v>58</v>
      </c>
      <c r="B15" s="20">
        <f>B13*B14</f>
        <v>539683130.0402359</v>
      </c>
      <c r="C15" s="20">
        <f>C13*C14</f>
        <v>527310563.57595</v>
      </c>
      <c r="D15" s="20">
        <f>D13*D14</f>
        <v>512030689.38752663</v>
      </c>
      <c r="E15" s="20">
        <f>E13*E14</f>
        <v>494579419.7912539</v>
      </c>
      <c r="F15" s="20">
        <f>F13*F14</f>
        <v>475183618.751666</v>
      </c>
      <c r="G15" s="20">
        <f>G13*G14</f>
        <v>454093908.54370487</v>
      </c>
      <c r="H15" s="20">
        <f>H13*H14</f>
        <v>431579234.4699673</v>
      </c>
      <c r="I15" s="20">
        <f>I13*I14</f>
        <v>407921089.0300207</v>
      </c>
      <c r="J15" s="20">
        <f>J13*J14</f>
        <v>383407570.8283261</v>
      </c>
      <c r="K15" s="20">
        <f>K13*K14</f>
        <v>358327455.9979959</v>
      </c>
    </row>
    <row r="17" spans="1:2" x14ac:dyDescent="0.25">
      <c r="A17" s="22" t="s">
        <v>59</v>
      </c>
      <c r="B17" s="23">
        <f>SUM(B15:K15)</f>
        <v>4584116680.416648</v>
      </c>
    </row>
    <row r="19" spans="1:11" x14ac:dyDescent="0.25">
      <c r="A19" t="s">
        <v>7</v>
      </c>
      <c r="B19" s="9">
        <f>Assumptions!$B$10+($B$20-Assumptions!$B$10)*0/9</f>
        <v>0.029028107509550455</v>
      </c>
      <c r="C19" s="9">
        <f>Assumptions!$B$10+($B$20-Assumptions!$B$10)*1/9</f>
        <v>0.03007148498647079</v>
      </c>
      <c r="D19" s="9">
        <f>Assumptions!$B$10+($B$20-Assumptions!$B$10)*2/9</f>
        <v>0.031114862463391124</v>
      </c>
      <c r="E19" s="9">
        <f>Assumptions!$B$10+($B$20-Assumptions!$B$10)*3/9</f>
        <v>0.03215823994031146</v>
      </c>
      <c r="F19" s="9">
        <f>Assumptions!$B$10+($B$20-Assumptions!$B$10)*4/9</f>
        <v>0.033201617417231793</v>
      </c>
      <c r="G19" s="9">
        <f>Assumptions!$B$10+($B$20-Assumptions!$B$10)*5/9</f>
        <v>0.03424499489415213</v>
      </c>
      <c r="H19" s="9">
        <f>Assumptions!$B$10+($B$20-Assumptions!$B$10)*6/9</f>
        <v>0.03528837237107246</v>
      </c>
      <c r="I19" s="9">
        <f>Assumptions!$B$10+($B$20-Assumptions!$B$10)*7/9</f>
        <v>0.0363317498479928</v>
      </c>
      <c r="J19" s="9">
        <f>Assumptions!$B$10+($B$20-Assumptions!$B$10)*8/9</f>
        <v>0.03737512732491313</v>
      </c>
      <c r="K19" s="9">
        <f>Assumptions!$B$10+($B$20-Assumptions!$B$10)*9/9</f>
        <v>0.03841850480183347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0.03841850480183347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639109789.7533238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984635522.9181176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0.39105113917880424</v>
      </c>
    </row>
    <row r="7" spans="1:2" x14ac:dyDescent="0.25">
      <c r="A7" t="s">
        <v>66</v>
      </c>
      <c r="B7" s="18">
        <f>-MAX(B5,0)*B6</f>
        <v>-385042842.9130475</v>
      </c>
    </row>
    <row r="8" spans="1:2" x14ac:dyDescent="0.25">
      <c r="A8" t="s">
        <v>67</v>
      </c>
      <c r="B8" s="18">
        <f>IF(OR(Assumptions!$B$33=0,Assumptions!B12&lt;=0),B5,MAX(B5+B7,0))</f>
        <v>599592680.0050702</v>
      </c>
    </row>
    <row r="9" spans="1:2" x14ac:dyDescent="0.25">
      <c r="A9" t="s">
        <v>68</v>
      </c>
      <c r="B9" s="18">
        <f>B8*(1+Assumptions!B12)/(Assumptions!B26-Assumptions!B12)</f>
        <v>16258164759.511627</v>
      </c>
    </row>
    <row r="10" spans="1:2" x14ac:dyDescent="0.25">
      <c r="A10" t="s">
        <v>69</v>
      </c>
      <c r="B10" s="18">
        <f>B9/(1+Assumptions!B26)^(10-0.5*Assumptions!B32)</f>
        <v>9115408511.768574</v>
      </c>
    </row>
    <row r="11" spans="1:2" x14ac:dyDescent="0.25">
      <c r="A11" t="s">
        <v>70</v>
      </c>
      <c r="B11" s="18">
        <f>Forecast!B17+B10</f>
        <v>13699525192.185223</v>
      </c>
    </row>
    <row r="12" spans="1:2" x14ac:dyDescent="0.25">
      <c r="A12" t="s">
        <v>71</v>
      </c>
      <c r="B12" s="18">
        <f>-Assumptions!B30</f>
        <v>-2149000000</v>
      </c>
    </row>
    <row r="13" spans="1:2" x14ac:dyDescent="0.25">
      <c r="A13" t="s">
        <v>72</v>
      </c>
      <c r="B13" s="18">
        <f>B11+B12</f>
        <v>11550525192.185223</v>
      </c>
    </row>
    <row r="14" spans="1:2" x14ac:dyDescent="0.25">
      <c r="A14" s="19" t="s">
        <v>73</v>
      </c>
      <c r="B14" s="24">
        <f>B13/Assumptions!B31</f>
        <v>293.90649343982756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1608437570.0093157</v>
      </c>
    </row>
    <row r="18" spans="1:2" x14ac:dyDescent="0.25">
      <c r="A18" t="s">
        <v>68</v>
      </c>
      <c r="B18" s="18">
        <f>B17*Assumptions!B13</f>
        <v>24730835503.313793</v>
      </c>
    </row>
    <row r="19" spans="1:2" x14ac:dyDescent="0.25">
      <c r="A19" t="s">
        <v>69</v>
      </c>
      <c r="B19" s="18">
        <f>B18/(1+Assumptions!B26)^(10-0.5*Assumptions!B32)</f>
        <v>13865751256.959621</v>
      </c>
    </row>
    <row r="20" spans="1:2" x14ac:dyDescent="0.25">
      <c r="A20" t="s">
        <v>70</v>
      </c>
      <c r="B20" s="18">
        <f>Forecast!B17+B19</f>
        <v>18449867937.37627</v>
      </c>
    </row>
    <row r="21" spans="1:2" x14ac:dyDescent="0.25">
      <c r="A21" t="s">
        <v>71</v>
      </c>
      <c r="B21" s="18">
        <f>-Assumptions!B30</f>
        <v>-2149000000</v>
      </c>
    </row>
    <row r="22" spans="1:2" x14ac:dyDescent="0.25">
      <c r="A22" t="s">
        <v>72</v>
      </c>
      <c r="B22" s="18">
        <f>B20+B21</f>
        <v>16300867937.37627</v>
      </c>
    </row>
    <row r="23" spans="1:2" x14ac:dyDescent="0.25">
      <c r="A23" s="19" t="s">
        <v>73</v>
      </c>
      <c r="B23" s="25">
        <f>B22/Assumptions!B31</f>
        <v>414.7803546406176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312.24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293.90649343982756</v>
      </c>
    </row>
    <row r="29" spans="1:2" x14ac:dyDescent="0.25">
      <c r="A29" s="19" t="s">
        <v>81</v>
      </c>
      <c r="B29" s="11">
        <f>B28/B26-1</f>
        <v>-0.058716072765092386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0.042801</v>
      </c>
      <c r="B5" s="31">
        <v>556.5186324162164</v>
      </c>
      <c r="C5" s="31">
        <v>596.835240373753</v>
      </c>
      <c r="D5" s="31">
        <v>662.8475091762234</v>
      </c>
      <c r="E5" s="31">
        <v>784.6651890520478</v>
      </c>
      <c r="F5" s="31">
        <v>1069.5926212523889</v>
      </c>
    </row>
    <row r="6" spans="1:6" x14ac:dyDescent="0.25">
      <c r="A6" s="30">
        <v>0.052801</v>
      </c>
      <c r="B6" s="31">
        <v>395.67326925805224</v>
      </c>
      <c r="C6" s="31">
        <v>401.91530943897646</v>
      </c>
      <c r="D6" s="31">
        <v>412.2425977843753</v>
      </c>
      <c r="E6" s="31">
        <v>429.34267968555264</v>
      </c>
      <c r="F6" s="31">
        <v>458.9226448193069</v>
      </c>
    </row>
    <row r="7" spans="1:6" x14ac:dyDescent="0.25">
      <c r="A7" s="30">
        <v>0.062801</v>
      </c>
      <c r="B7" s="31">
        <v>302.10799487493387</v>
      </c>
      <c r="C7" s="31">
        <v>297.92403871829197</v>
      </c>
      <c r="D7" s="32">
        <v>293.9105744268118</v>
      </c>
      <c r="E7" s="31">
        <v>290.14556846424244</v>
      </c>
      <c r="F7" s="31">
        <v>286.7630762578584</v>
      </c>
    </row>
    <row r="8" spans="1:6" x14ac:dyDescent="0.25">
      <c r="A8" s="30">
        <v>0.072801</v>
      </c>
      <c r="B8" s="31">
        <v>249.3938680115541</v>
      </c>
      <c r="C8" s="31">
        <v>245.38805299672202</v>
      </c>
      <c r="D8" s="31">
        <v>241.38223798188974</v>
      </c>
      <c r="E8" s="31">
        <v>237.37642296705766</v>
      </c>
      <c r="F8" s="31">
        <v>233.37060795222538</v>
      </c>
    </row>
    <row r="9" spans="1:6" x14ac:dyDescent="0.25">
      <c r="A9" s="30">
        <v>0.082801</v>
      </c>
      <c r="B9" s="31">
        <v>210.7511227388822</v>
      </c>
      <c r="C9" s="31">
        <v>207.42079733406067</v>
      </c>
      <c r="D9" s="31">
        <v>204.09047192923907</v>
      </c>
      <c r="E9" s="31">
        <v>200.76014652441756</v>
      </c>
      <c r="F9" s="31">
        <v>197.42982111959597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12484000000</v>
      </c>
      <c r="C5" s="18">
        <v>11535000000</v>
      </c>
      <c r="D5" s="18">
        <v>11454000000</v>
      </c>
      <c r="E5" s="18">
        <v>10676000000</v>
      </c>
      <c r="F5" s="6" t="s">
        <v>91</v>
      </c>
    </row>
    <row r="6" spans="1:6" x14ac:dyDescent="0.25">
      <c r="A6" t="s">
        <v>51</v>
      </c>
      <c r="B6" s="18">
        <v>611000000</v>
      </c>
      <c r="C6" s="18">
        <v>486000000</v>
      </c>
      <c r="D6" s="18">
        <v>744000000</v>
      </c>
      <c r="E6" s="18">
        <v>517000000</v>
      </c>
      <c r="F6" s="6" t="s">
        <v>92</v>
      </c>
    </row>
    <row r="7" spans="1:6" x14ac:dyDescent="0.25">
      <c r="A7" t="s">
        <v>93</v>
      </c>
      <c r="B7" s="18">
        <v>329000000</v>
      </c>
      <c r="C7" s="18">
        <v>326000000</v>
      </c>
      <c r="D7" s="18">
        <v>347000000</v>
      </c>
      <c r="E7" s="18">
        <v>358000000</v>
      </c>
      <c r="F7" s="6" t="s">
        <v>94</v>
      </c>
    </row>
    <row r="8" spans="1:6" x14ac:dyDescent="0.25">
      <c r="A8" t="s">
        <v>95</v>
      </c>
      <c r="B8" s="18">
        <v>402000000</v>
      </c>
      <c r="C8" s="18">
        <v>367000000</v>
      </c>
      <c r="D8" s="18">
        <v>292000000</v>
      </c>
      <c r="E8" s="18">
        <v>284000000</v>
      </c>
      <c r="F8" s="6" t="s">
        <v>96</v>
      </c>
    </row>
    <row r="9" spans="1:6" x14ac:dyDescent="0.25">
      <c r="A9" t="s">
        <v>97</v>
      </c>
      <c r="B9" s="18">
        <v>-16000000</v>
      </c>
      <c r="C9" s="18">
        <v>372000000</v>
      </c>
      <c r="D9" s="18">
        <v>-15000000</v>
      </c>
      <c r="E9" s="18">
        <v>249000000</v>
      </c>
      <c r="F9" s="6" t="s">
        <v>98</v>
      </c>
    </row>
    <row r="10" spans="1:6" x14ac:dyDescent="0.25">
      <c r="A10" t="s">
        <v>99</v>
      </c>
      <c r="B10" s="18">
        <v>2923000000</v>
      </c>
      <c r="C10" s="18">
        <v>3408000000</v>
      </c>
      <c r="D10" s="18">
        <v>2673000000</v>
      </c>
      <c r="E10" s="18">
        <v>3151000000</v>
      </c>
      <c r="F10" s="6" t="s">
        <v>100</v>
      </c>
    </row>
    <row r="11" spans="1:6" x14ac:dyDescent="0.25">
      <c r="A11" t="s">
        <v>101</v>
      </c>
      <c r="B11" s="18">
        <v>774000000</v>
      </c>
      <c r="C11" s="18">
        <v>831000000</v>
      </c>
      <c r="D11" s="18">
        <v>430000000</v>
      </c>
      <c r="E11" s="18">
        <v>467000000</v>
      </c>
      <c r="F11" s="6" t="s">
        <v>102</v>
      </c>
    </row>
    <row r="12" spans="1:6" x14ac:dyDescent="0.25">
      <c r="A12" t="s">
        <v>34</v>
      </c>
      <c r="B12" s="34">
        <v>39300000</v>
      </c>
      <c r="C12" s="34">
        <v>39400000</v>
      </c>
      <c r="D12" s="34">
        <v>39900000</v>
      </c>
      <c r="E12" s="34">
        <v>40100000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