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<sst xmlns="http://schemas.openxmlformats.org/spreadsheetml/2006/main" count="115" uniqueCount="103">
  <si>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Hallenstein Glasson Holdings Limited (HLG.NZ)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</si>
  <si>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</si>
  <si>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</si>
  <si>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</si>
  <si>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</si>
  <si>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</si>
  <si>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</si>
  <si>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</si>
  <si>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</si>
  <si>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</si>
  <si>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</si>
  <si>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</si>
  <si>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</si>
  <si>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</si>
  <si>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</si>
  <si>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</si>
  <si>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</si>
  <si>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</si>
  <si>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</si>
  <si>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</si>
  <si>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</si>
  <si>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</si>
  <si>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</si>
  <si>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</si>
  <si>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</si>
  <si>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</si>
  <si>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</si>
  <si>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</si>
  <si>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</si>
  <si>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</si>
  <si>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2024-07-31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</si>
  <si>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</si>
  <si>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</si>
  <si>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</si>
  <si>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</si>
  <si>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</si>
  <si>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</si>
  <si>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</si>
  <si>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</si>
  <si>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</si>
  <si>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</si>
  <si>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</si>
  <si>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</si>
  <si>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</si>
  <si>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</si>
  <si>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</si>
  <si>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</si>
  <si>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</si>
  <si>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</si>
  <si>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</si>
  <si>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</si>
  <si>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</si>
  <si>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</si>
  <si>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</si>
  <si>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</si>
  <si>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</si>
  <si>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</si>
  <si>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</si>
  <si>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</si>
  <si>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</si>
  <si>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</si>
  <si>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</si>
  <si>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</si>
  <si>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</si>
  <si>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</si>
  <si>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</si>
  <si>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</si>
  <si>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</si>
  <si>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</si>
  <si>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</si>
  <si>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</si>
  <si>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</si>
  <si>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</si>
  <si>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</si>
  <si>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</si>
  <si>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</si>
  <si>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</si>
  <si>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</si>
  <si>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</si>
  <si>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</si>
  <si>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</si>
  <si>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</si>
  <si>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</si>
  <si>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</si>
  <si>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</si>
  <si>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</si>
  <si>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</si>
  <si>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</si>
  <si>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</si>
  <si>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</si>
  <si>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</si>
  <si>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</si>
  <si>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</si>
  <si>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</si>
  <si>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</si>
  <si>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</si>
  <si>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</si>
  <si>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</si>
  <si>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</si>
  <si>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Adjusted: Consensus rests on as few as 2 analyst estimate(s).</t>
  </si>
  <si>
    <t>Adjusted: Reported capital expenditure averages 3.21% of revenue against depreciation and amortisation of 9.29%. A business cannot depreciate more than it invests indefinitely. Capex has been set to 9.29%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</si>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</sst>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0.11371859986354593</v>
      </c>
    </row>
    <row r="7" spans="1:2" x14ac:dyDescent="0.25">
      <c r="A7" t="s">
        <v>5</v>
      </c>
      <c r="B7" s="6">
        <v>0.02183220994003599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0.0928832574905492</v>
      </c>
    </row>
    <row r="10" spans="1:2" x14ac:dyDescent="0.25">
      <c r="A10" t="s">
        <v>8</v>
      </c>
      <c r="B10" s="6">
        <v>0.0928832574905492</v>
      </c>
    </row>
    <row r="11" spans="1:2" x14ac:dyDescent="0.25">
      <c r="A11" t="s">
        <v>9</v>
      </c>
      <c r="B11" s="6">
        <v>-0.07722116828329208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14.72648996162616</v>
      </c>
    </row>
    <row r="14" spans="1:3" x14ac:dyDescent="0.25">
      <c r="A14" t="s">
        <v>12</v>
      </c>
      <c r="B14" s="6">
        <v>0.07154086264902189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0.44792</v>
      </c>
      <c r="C19" s="8" t="s">
        <v>19</v>
      </c>
    </row>
    <row r="20" spans="1:2" x14ac:dyDescent="0.25">
      <c r="A20" t="s">
        <v>20</v>
      </c>
      <c r="B20" s="10">
        <f>B17+B19*B18</f>
        <v>0.0741148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761122048</v>
      </c>
    </row>
    <row r="23" spans="1:2" x14ac:dyDescent="0.25">
      <c r="A23" t="s">
        <v>24</v>
      </c>
      <c r="B23" s="11">
        <v>79184000</v>
      </c>
    </row>
    <row r="24" spans="1:2" x14ac:dyDescent="0.25">
      <c r="A24" t="s">
        <v>25</v>
      </c>
      <c r="B24" s="10">
        <f>B22/(B22+B23)</f>
        <v>0.9057676662110612</v>
      </c>
    </row>
    <row r="25" spans="1:2" x14ac:dyDescent="0.25">
      <c r="A25" t="s">
        <v>26</v>
      </c>
      <c r="B25" s="10">
        <f>1-B24</f>
        <v>0.0942323337889388</v>
      </c>
    </row>
    <row r="26" spans="1:2" x14ac:dyDescent="0.25">
      <c r="A26" t="s">
        <v>27</v>
      </c>
      <c r="B26" s="12">
        <f>B24*B20+B25*B21*(1-B8)</f>
        <v>0.07154086264902189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435635000</v>
      </c>
      <c r="C29" s="8" t="s">
        <v>30</v>
      </c>
    </row>
    <row r="30" spans="1:2" x14ac:dyDescent="0.25">
      <c r="A30" t="s">
        <v>31</v>
      </c>
      <c r="B30" s="11">
        <v>33269000</v>
      </c>
    </row>
    <row r="31" spans="1:2" x14ac:dyDescent="0.25">
      <c r="A31" t="s">
        <v>32</v>
      </c>
      <c r="B31" s="13">
        <v>59649000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0.11371859986354593</v>
      </c>
      <c r="C5" s="10">
        <f>Assumptions!B6</f>
        <v>0.11371859986354593</v>
      </c>
      <c r="D5" s="10">
        <f>Assumptions!B6</f>
        <v>0.11371859986354593</v>
      </c>
      <c r="E5" s="10">
        <f>Assumptions!B6</f>
        <v>0.11371859986354593</v>
      </c>
      <c r="F5" s="10">
        <f>Assumptions!B6</f>
        <v>0.11371859986354593</v>
      </c>
    </row>
    <row r="6" spans="1:6" x14ac:dyDescent="0.25">
      <c r="A6" t="s">
        <v>43</v>
      </c>
      <c r="B6" s="18">
        <f>Assumptions!B29*(1+B5)</f>
        <v>485174802.25155586</v>
      </c>
      <c r="C6" s="18">
        <f>B6*(1+C5)</f>
        <v>540348201.4526756</v>
      </c>
      <c r="D6" s="18">
        <f>C6*(1+D5)</f>
        <v>601795842.3606591</v>
      </c>
      <c r="E6" s="18">
        <f>D6*(1+E5)</f>
        <v>670231222.9576164</v>
      </c>
      <c r="F6" s="18">
        <f>E6*(1+F5)</f>
        <v>746448979.2171887</v>
      </c>
    </row>
    <row r="7" spans="1:6" x14ac:dyDescent="0.25">
      <c r="A7" t="s">
        <v>5</v>
      </c>
      <c r="B7" s="10">
        <f>Assumptions!B7</f>
        <v>0.02183220994003599</v>
      </c>
      <c r="C7" s="10">
        <f>Assumptions!B7</f>
        <v>0.02183220994003599</v>
      </c>
      <c r="D7" s="10">
        <f>Assumptions!B7</f>
        <v>0.02183220994003599</v>
      </c>
      <c r="E7" s="10">
        <f>Assumptions!B7</f>
        <v>0.02183220994003599</v>
      </c>
      <c r="F7" s="10">
        <f>Assumptions!B7</f>
        <v>0.02183220994003599</v>
      </c>
    </row>
    <row r="8" spans="1:6" x14ac:dyDescent="0.25">
      <c r="A8" t="s">
        <v>44</v>
      </c>
      <c r="B8" s="18">
        <f>B6*B7</f>
        <v>10592438.140371412</v>
      </c>
      <c r="C8" s="18">
        <f>C6*C7</f>
        <v>11796995.374835672</v>
      </c>
      <c r="D8" s="18">
        <f>D6*D7</f>
        <v>13138533.171458712</v>
      </c>
      <c r="E8" s="18">
        <f>E6*E7</f>
        <v>14632628.76797775</v>
      </c>
      <c r="F8" s="18">
        <f>F6*F7</f>
        <v>16296630.823795224</v>
      </c>
    </row>
    <row r="9" spans="1:6" x14ac:dyDescent="0.25">
      <c r="A9" t="s">
        <v>45</v>
      </c>
      <c r="B9" s="18">
        <f>B8*(1-Assumptions!B8)</f>
        <v>7626555.461067417</v>
      </c>
      <c r="C9" s="18">
        <f>C8*(1-Assumptions!B8)</f>
        <v>8493836.669881683</v>
      </c>
      <c r="D9" s="18">
        <f>D8*(1-Assumptions!B8)</f>
        <v>9459743.883450272</v>
      </c>
      <c r="E9" s="18">
        <f>E8*(1-Assumptions!B8)</f>
        <v>10535492.71294398</v>
      </c>
      <c r="F9" s="18">
        <f>F8*(1-Assumptions!B8)</f>
        <v>11733574.19313256</v>
      </c>
    </row>
    <row r="10" spans="1:6" x14ac:dyDescent="0.25">
      <c r="A10" t="s">
        <v>46</v>
      </c>
      <c r="B10" s="18">
        <f>B6*Assumptions!B9</f>
        <v>45064616.08545755</v>
      </c>
      <c r="C10" s="18">
        <f>C6*Assumptions!B9</f>
        <v>50189301.130084015</v>
      </c>
      <c r="D10" s="18">
        <f>D6*Assumptions!B9</f>
        <v>55896758.182727054</v>
      </c>
      <c r="E10" s="18">
        <f>E6*Assumptions!B9</f>
        <v>62253259.26017798</v>
      </c>
      <c r="F10" s="18">
        <f>F6*Assumptions!B9</f>
        <v>69332612.74018775</v>
      </c>
    </row>
    <row r="11" spans="1:6" x14ac:dyDescent="0.25">
      <c r="A11" t="s">
        <v>47</v>
      </c>
      <c r="B11" s="18">
        <f>-B6*Assumptions!B10</f>
        <v>-45064616.08545755</v>
      </c>
      <c r="C11" s="18">
        <f>-C6*Assumptions!B10</f>
        <v>-50189301.130084015</v>
      </c>
      <c r="D11" s="18">
        <f>-D6*Assumptions!B10</f>
        <v>-55896758.182727054</v>
      </c>
      <c r="E11" s="18">
        <f>-E6*Assumptions!B10</f>
        <v>-62253259.26017798</v>
      </c>
      <c r="F11" s="18">
        <f>-F6*Assumptions!B10</f>
        <v>-69332612.74018775</v>
      </c>
    </row>
    <row r="12" spans="1:6" x14ac:dyDescent="0.25">
      <c r="A12" t="s">
        <v>48</v>
      </c>
      <c r="B12" s="18">
        <f>-(B6-Assumptions!B29)*Assumptions!B11</f>
        <v>3825521.4063884066</v>
      </c>
      <c r="C12" s="18">
        <f>-(C6-B6)*Assumptions!B11</f>
        <v>4260554.344470918</v>
      </c>
      <c r="D12" s="18">
        <f>-(D6-C6)*Assumptions!B11</f>
        <v>4745058.619166699</v>
      </c>
      <c r="E12" s="18">
        <f>-(E6-D6)*Assumptions!B11</f>
        <v>5284660.041608783</v>
      </c>
      <c r="F12" s="18">
        <f>-(F6-E6)*Assumptions!B11</f>
        <v>5885624.182295368</v>
      </c>
    </row>
    <row r="13" spans="1:6" x14ac:dyDescent="0.25">
      <c r="A13" s="19" t="s">
        <v>49</v>
      </c>
      <c r="B13" s="20">
        <f>B9+B10+B11+B12</f>
        <v>11452076.867455821</v>
      </c>
      <c r="C13" s="20">
        <f>C9+C10+C11+C12</f>
        <v>12754391.014352597</v>
      </c>
      <c r="D13" s="20">
        <f>D9+D10+D11+D12</f>
        <v>14204802.502616968</v>
      </c>
      <c r="E13" s="20">
        <f>E9+E10+E11+E12</f>
        <v>15820152.754552763</v>
      </c>
      <c r="F13" s="20">
        <f>F9+F10+F11+F12</f>
        <v>17619198.37542793</v>
      </c>
    </row>
    <row r="14" spans="1:6" x14ac:dyDescent="0.25">
      <c r="A14" t="s">
        <v>50</v>
      </c>
      <c r="B14" s="21">
        <f>1/(1+Assumptions!$B$26)^(1-0.5*Assumptions!$B$32)</f>
        <v>0.9660411613664746</v>
      </c>
      <c r="C14" s="21">
        <f>1/(1+Assumptions!$B$26)^(2-0.5*Assumptions!$B$32)</f>
        <v>0.9015439308383116</v>
      </c>
      <c r="D14" s="21">
        <f>1/(1+Assumptions!$B$26)^(3-0.5*Assumptions!$B$32)</f>
        <v>0.8413528240160152</v>
      </c>
      <c r="E14" s="21">
        <f>1/(1+Assumptions!$B$26)^(4-0.5*Assumptions!$B$32)</f>
        <v>0.7851803448130342</v>
      </c>
      <c r="F14" s="21">
        <f>1/(1+Assumptions!$B$26)^(5-0.5*Assumptions!$B$32)</f>
        <v>0.7327581916679702</v>
      </c>
    </row>
    <row r="15" spans="1:6" x14ac:dyDescent="0.25">
      <c r="A15" s="19" t="s">
        <v>51</v>
      </c>
      <c r="B15" s="20">
        <f>B13*B14</f>
        <v>11063177.637095159</v>
      </c>
      <c r="C15" s="20">
        <f>C13*C14</f>
        <v>11498643.810528282</v>
      </c>
      <c r="D15" s="20">
        <f>D13*D14</f>
        <v>11951250.700166546</v>
      </c>
      <c r="E15" s="20">
        <f>E13*E14</f>
        <v>12421672.994814612</v>
      </c>
      <c r="F15" s="20">
        <f>F13*F14</f>
        <v>12910611.94021781</v>
      </c>
    </row>
    <row r="17" spans="1:2" x14ac:dyDescent="0.25">
      <c r="A17" s="22" t="s">
        <v>52</v>
      </c>
      <c r="B17" s="23">
        <f>SUM(B15:F15)</f>
        <v>59845357.082822405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17619198.37542793</v>
      </c>
    </row>
    <row r="5" spans="1:2" x14ac:dyDescent="0.25">
      <c r="A5" t="s">
        <v>56</v>
      </c>
      <c r="B5" s="18">
        <f>IF(Assumptions!$B$33=0,B4,B4-Forecast!F11-Forecast!F10-Forecast!F12)</f>
        <v>11733574.19313256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0.3494506366613096</v>
      </c>
    </row>
    <row r="7" spans="1:2" x14ac:dyDescent="0.25">
      <c r="A7" t="s">
        <v>58</v>
      </c>
      <c r="B7" s="18">
        <f>-MAX(Forecast!F9,0)*B6</f>
        <v>-4100304.9721028856</v>
      </c>
    </row>
    <row r="8" spans="1:2" x14ac:dyDescent="0.25">
      <c r="A8" t="s">
        <v>59</v>
      </c>
      <c r="B8" s="18">
        <f>IF(OR(Assumptions!$B$33=0,Assumptions!B12&lt;=0),B5,MAX(B5+B7,0))</f>
        <v>7633269.221029675</v>
      </c>
    </row>
    <row r="9" spans="1:2" x14ac:dyDescent="0.25">
      <c r="A9" t="s">
        <v>60</v>
      </c>
      <c r="B9" s="18">
        <f>B8*(1+Assumptions!B12)/(Assumptions!B26-Assumptions!B12)</f>
        <v>168112503.85621825</v>
      </c>
    </row>
    <row r="10" spans="1:2" x14ac:dyDescent="0.25">
      <c r="A10" t="s">
        <v>61</v>
      </c>
      <c r="B10" s="18">
        <f>B9/(1+Assumptions!B26)^(5-0.5*Assumptions!B32)</f>
        <v>123185814.32245715</v>
      </c>
    </row>
    <row r="11" spans="1:2" x14ac:dyDescent="0.25">
      <c r="A11" t="s">
        <v>62</v>
      </c>
      <c r="B11" s="18">
        <f>Forecast!B17+B10</f>
        <v>183031171.40527955</v>
      </c>
    </row>
    <row r="12" spans="1:2" x14ac:dyDescent="0.25">
      <c r="A12" t="s">
        <v>63</v>
      </c>
      <c r="B12" s="18">
        <f>-Assumptions!B30</f>
        <v>-33269000</v>
      </c>
    </row>
    <row r="13" spans="1:2" x14ac:dyDescent="0.25">
      <c r="A13" t="s">
        <v>64</v>
      </c>
      <c r="B13" s="18">
        <f>B11+B12</f>
        <v>149762171.40527955</v>
      </c>
    </row>
    <row r="14" spans="1:2" x14ac:dyDescent="0.25">
      <c r="A14" s="19" t="s">
        <v>65</v>
      </c>
      <c r="B14" s="24">
        <f>B13/Assumptions!B31</f>
        <v>2.510723925049532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85629243.56398298</v>
      </c>
    </row>
    <row r="18" spans="1:2" x14ac:dyDescent="0.25">
      <c r="A18" t="s">
        <v>60</v>
      </c>
      <c r="B18" s="18">
        <f>B17*Assumptions!B13</f>
        <v>1261018195.7666368</v>
      </c>
    </row>
    <row r="19" spans="1:2" x14ac:dyDescent="0.25">
      <c r="A19" t="s">
        <v>61</v>
      </c>
      <c r="B19" s="18">
        <f>B18/(1+Assumptions!B26)^(5-0.5*Assumptions!B32)</f>
        <v>924021412.7903672</v>
      </c>
    </row>
    <row r="20" spans="1:2" x14ac:dyDescent="0.25">
      <c r="A20" t="s">
        <v>62</v>
      </c>
      <c r="B20" s="18">
        <f>Forecast!B17+B19</f>
        <v>983866769.8731897</v>
      </c>
    </row>
    <row r="21" spans="1:2" x14ac:dyDescent="0.25">
      <c r="A21" t="s">
        <v>63</v>
      </c>
      <c r="B21" s="18">
        <f>-Assumptions!B30</f>
        <v>-33269000</v>
      </c>
    </row>
    <row r="22" spans="1:2" x14ac:dyDescent="0.25">
      <c r="A22" t="s">
        <v>64</v>
      </c>
      <c r="B22" s="18">
        <f>B20+B21</f>
        <v>950597769.8731897</v>
      </c>
    </row>
    <row r="23" spans="1:2" x14ac:dyDescent="0.25">
      <c r="A23" s="19" t="s">
        <v>65</v>
      </c>
      <c r="B23" s="25">
        <f>B22/Assumptions!B31</f>
        <v>15.936524834836957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12.76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2.510723925049532</v>
      </c>
    </row>
    <row r="29" spans="1:2" x14ac:dyDescent="0.25">
      <c r="A29" s="19" t="s">
        <v>73</v>
      </c>
      <c r="B29" s="12">
        <f>B28/B26-1</f>
        <v>-0.8032348021121056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0.051541</v>
      </c>
      <c r="B5" s="31">
        <v>3.927700752738061</v>
      </c>
      <c r="C5" s="31">
        <v>4.131876974887158</v>
      </c>
      <c r="D5" s="31">
        <v>4.40879400170268</v>
      </c>
      <c r="E5" s="31">
        <v>4.809104638068166</v>
      </c>
      <c r="F5" s="31">
        <v>5.444706843191008</v>
      </c>
    </row>
    <row r="6" spans="1:6" x14ac:dyDescent="0.25">
      <c r="A6" s="30">
        <v>0.061541</v>
      </c>
      <c r="B6" s="31">
        <v>3.0522991818323653</v>
      </c>
      <c r="C6" s="31">
        <v>3.1158075917863766</v>
      </c>
      <c r="D6" s="31">
        <v>3.19378112932551</v>
      </c>
      <c r="E6" s="31">
        <v>3.2930989965605675</v>
      </c>
      <c r="F6" s="31">
        <v>3.4258242259861382</v>
      </c>
    </row>
    <row r="7" spans="1:6" x14ac:dyDescent="0.25">
      <c r="A7" s="30">
        <v>0.071541</v>
      </c>
      <c r="B7" s="31">
        <v>2.4905704078052397</v>
      </c>
      <c r="C7" s="31">
        <v>2.5006444226427655</v>
      </c>
      <c r="D7" s="32">
        <v>2.5107184374802904</v>
      </c>
      <c r="E7" s="31">
        <v>2.520792452317816</v>
      </c>
      <c r="F7" s="31">
        <v>2.5308664671553407</v>
      </c>
    </row>
    <row r="8" spans="1:6" x14ac:dyDescent="0.25">
      <c r="A8" s="30">
        <v>0.081541</v>
      </c>
      <c r="B8" s="31">
        <v>2.1426702735445327</v>
      </c>
      <c r="C8" s="31">
        <v>2.151146990520451</v>
      </c>
      <c r="D8" s="31">
        <v>2.15962370749637</v>
      </c>
      <c r="E8" s="31">
        <v>2.168100424472289</v>
      </c>
      <c r="F8" s="31">
        <v>2.176577141448208</v>
      </c>
    </row>
    <row r="9" spans="1:6" x14ac:dyDescent="0.25">
      <c r="A9" s="30">
        <v>0.091541</v>
      </c>
      <c r="B9" s="31">
        <v>1.8697874716134077</v>
      </c>
      <c r="C9" s="31">
        <v>1.8770318523886795</v>
      </c>
      <c r="D9" s="31">
        <v>1.884276233163951</v>
      </c>
      <c r="E9" s="31">
        <v>1.891520613939223</v>
      </c>
      <c r="F9" s="31">
        <v>1.898764994714495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435635000</v>
      </c>
      <c r="C5" s="18">
        <v>409711000</v>
      </c>
      <c r="D5" s="18">
        <v>351214000</v>
      </c>
      <c r="E5" s="8" t="s">
        <v>83</v>
      </c>
    </row>
    <row r="6" spans="1:5" x14ac:dyDescent="0.25">
      <c r="A6" t="s">
        <v>44</v>
      </c>
      <c r="B6" s="18">
        <v>15427000</v>
      </c>
      <c r="C6" s="18">
        <v>9442000</v>
      </c>
      <c r="D6" s="18">
        <v>2472000</v>
      </c>
      <c r="E6" s="8" t="s">
        <v>84</v>
      </c>
    </row>
    <row r="7" spans="1:5" x14ac:dyDescent="0.25">
      <c r="A7" t="s">
        <v>85</v>
      </c>
      <c r="B7" s="18">
        <v>38516000</v>
      </c>
      <c r="C7" s="18">
        <v>38111000</v>
      </c>
      <c r="D7" s="18">
        <v>34144000</v>
      </c>
      <c r="E7" s="8" t="s">
        <v>86</v>
      </c>
    </row>
    <row r="8" spans="1:5" x14ac:dyDescent="0.25">
      <c r="A8" t="s">
        <v>87</v>
      </c>
      <c r="B8" s="18">
        <v>15944000</v>
      </c>
      <c r="C8" s="18">
        <v>14811000</v>
      </c>
      <c r="D8" s="18">
        <v>8281000</v>
      </c>
      <c r="E8" s="8" t="s">
        <v>88</v>
      </c>
    </row>
    <row r="9" spans="1:5" x14ac:dyDescent="0.25">
      <c r="A9" t="s">
        <v>89</v>
      </c>
      <c r="B9" s="18">
        <v>-5156000</v>
      </c>
      <c r="C9" s="18">
        <v>2600000</v>
      </c>
      <c r="D9" s="18">
        <v>0</v>
      </c>
      <c r="E9" s="8" t="s">
        <v>90</v>
      </c>
    </row>
    <row r="10" spans="1:5" x14ac:dyDescent="0.25">
      <c r="A10" t="s">
        <v>91</v>
      </c>
      <c r="B10" s="18">
        <v>79184000</v>
      </c>
      <c r="C10" s="18">
        <v>76325000</v>
      </c>
      <c r="D10" s="18">
        <v>77410000</v>
      </c>
      <c r="E10" s="8" t="s">
        <v>92</v>
      </c>
    </row>
    <row r="11" spans="1:5" x14ac:dyDescent="0.25">
      <c r="A11" t="s">
        <v>93</v>
      </c>
      <c r="B11" s="18">
        <v>45915000</v>
      </c>
      <c r="C11" s="18">
        <v>32478000</v>
      </c>
      <c r="D11" s="18">
        <v>35113000</v>
      </c>
      <c r="E11" s="8" t="s">
        <v>94</v>
      </c>
    </row>
    <row r="12" spans="1:5" x14ac:dyDescent="0.25">
      <c r="A12" t="s">
        <v>32</v>
      </c>
      <c r="B12" s="34">
        <v>59649000</v>
      </c>
      <c r="C12" s="34">
        <v>59649000</v>
      </c>
      <c r="D12" s="34">
        <v>59643000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86" customHeight="1" spans="1:5" x14ac:dyDescent="0.25">
      <c r="A19" s="35" t="s">
        <v>100</v>
      </c>
      <c r="B19" s="35"/>
      <c r="C19" s="35"/>
      <c r="D19" s="35"/>
      <c r="E19" s="35"/>
    </row>
    <row r="20" ht="22" customHeight="1" spans="1:5" x14ac:dyDescent="0.25">
      <c r="A20" s="35" t="s">
        <v>101</v>
      </c>
      <c r="B20" s="35"/>
      <c r="C20" s="35"/>
      <c r="D20" s="35"/>
      <c r="E20" s="35"/>
    </row>
    <row r="22" spans="1:1" x14ac:dyDescent="0.25">
      <c r="A22" s="36" t="s">
        <v>102</v>
      </c>
    </row>
  </sheetData>
  <mergeCells count="5">
    <mergeCell ref="A16:E16"/>
    <mergeCell ref="A17:E17"/>
    <mergeCell ref="A18:E18"/>
    <mergeCell ref="A19:E19"/>
    <mergeCell ref="A20:E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