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<sst xmlns="http://schemas.openxmlformats.org/spreadsheetml/2006/main" count="120" uniqueCount="103">
  <si>
    <t>Halma plc (HLMA.L)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</si>
  <si>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</si>
  <si>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</si>
  <si>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</si>
  <si>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</si>
  <si>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</si>
  <si>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</si>
  <si>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</si>
  <si>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</si>
  <si>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</si>
  <si>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</si>
  <si>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</si>
  <si>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</si>
  <si>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</si>
  <si>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</si>
  <si>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</si>
  <si>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</si>
  <si>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</si>
  <si>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</si>
  <si>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</si>
  <si>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</si>
  <si>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</si>
  <si>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</si>
  <si>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</si>
  <si>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</si>
  <si>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</si>
  <si>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</si>
  <si>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</si>
  <si>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</si>
  <si>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</si>
  <si>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</si>
  <si>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</si>
  <si>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</si>
  <si>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</si>
  <si>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</si>
  <si>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</si>
  <si>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</si>
  <si>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</si>
  <si>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</si>
  <si>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</si>
  <si>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</si>
  <si>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</si>
  <si>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</si>
  <si>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</si>
  <si>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</si>
  <si>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</si>
  <si>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</si>
  <si>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</si>
  <si>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</si>
  <si>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</si>
  <si>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</si>
  <si>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</si>
  <si>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</si>
  <si>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</si>
  <si>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</si>
  <si>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</si>
  <si>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</si>
  <si>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</si>
  <si>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</si>
  <si>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</si>
  <si>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</si>
  <si>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</si>
  <si>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</si>
  <si>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</si>
  <si>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</si>
  <si>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</si>
  <si>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</si>
  <si>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</si>
  <si>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</si>
  <si>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</si>
  <si>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</si>
  <si>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</si>
  <si>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</si>
  <si>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</si>
  <si>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</si>
  <si>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</si>
  <si>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</si>
  <si>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</si>
  <si>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</si>
  <si>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</si>
  <si>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</si>
  <si>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</si>
  <si>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</si>
  <si>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</si>
  <si>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</si>
  <si>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</si>
  <si>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</si>
  <si>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</si>
  <si>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</si>
  <si>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</si>
  <si>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</si>
  <si>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</si>
  <si>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</si>
  <si>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</si>
  <si>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</si>
  <si>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</si>
  <si>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</si>
  <si>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</si>
  <si>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</si>
  <si>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</si>
  <si>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Note: Risk-free rate is an assumption: GBP assumption - no free live source available for this market.</t>
  </si>
  <si>
    <t>No usable EV/EBITDA (EBITDA is not positive), so the exit multiple falls back to 8x.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</si>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</sst>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0.11701597545497067</v>
      </c>
    </row>
    <row r="7" spans="1:2" x14ac:dyDescent="0.25">
      <c r="A7" t="s">
        <v>5</v>
      </c>
      <c r="B7" s="6">
        <v>0.1832473584520347</v>
      </c>
    </row>
    <row r="8" spans="1:2" x14ac:dyDescent="0.25">
      <c r="A8" t="s">
        <v>6</v>
      </c>
      <c r="B8" s="6">
        <v>0.21941814209485455</v>
      </c>
    </row>
    <row r="9" spans="1:2" x14ac:dyDescent="0.25">
      <c r="A9" t="s">
        <v>7</v>
      </c>
      <c r="B9" s="6">
        <v>0.052748149911524475</v>
      </c>
    </row>
    <row r="10" spans="1:2" x14ac:dyDescent="0.25">
      <c r="A10" t="s">
        <v>8</v>
      </c>
      <c r="B10" s="6">
        <v>0.02601449538583519</v>
      </c>
    </row>
    <row r="11" spans="1:2" x14ac:dyDescent="0.25">
      <c r="A11" t="s">
        <v>9</v>
      </c>
      <c r="B11" s="6">
        <v>0.10038610038610038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0.11917357287805376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0.9778899999999999</v>
      </c>
      <c r="C19" s="8" t="s">
        <v>19</v>
      </c>
    </row>
    <row r="20" spans="1:2" x14ac:dyDescent="0.25">
      <c r="A20" t="s">
        <v>20</v>
      </c>
      <c r="B20" s="10">
        <f>B17+B19*B18</f>
        <v>0.09878395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913400000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0.03512618360573155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2582300000</v>
      </c>
      <c r="C29" s="8" t="s">
        <v>30</v>
      </c>
    </row>
    <row r="30" spans="1:2" x14ac:dyDescent="0.25">
      <c r="A30" t="s">
        <v>31</v>
      </c>
      <c r="B30" s="11">
        <v>770000000</v>
      </c>
    </row>
    <row r="31" spans="1:2" x14ac:dyDescent="0.25">
      <c r="A31" t="s">
        <v>32</v>
      </c>
      <c r="B31" s="13">
        <v>379200000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0.11701597545497067</v>
      </c>
      <c r="C5" s="10">
        <f>Assumptions!B6</f>
        <v>0.11701597545497067</v>
      </c>
      <c r="D5" s="10">
        <f>Assumptions!B6</f>
        <v>0.11701597545497067</v>
      </c>
      <c r="E5" s="10">
        <f>Assumptions!B6</f>
        <v>0.11701597545497067</v>
      </c>
      <c r="F5" s="10">
        <f>Assumptions!B6</f>
        <v>0.11701597545497067</v>
      </c>
    </row>
    <row r="6" spans="1:6" x14ac:dyDescent="0.25">
      <c r="A6" t="s">
        <v>43</v>
      </c>
      <c r="B6" s="18">
        <f>Assumptions!B29*(1+B5)</f>
        <v>2884470353.417371</v>
      </c>
      <c r="C6" s="18">
        <f>B6*(1+C5)</f>
        <v>3221999465.4934483</v>
      </c>
      <c r="D6" s="18">
        <f>C6*(1+D5)</f>
        <v>3599024875.8635583</v>
      </c>
      <c r="E6" s="18">
        <f>D6*(1+E5)</f>
        <v>4020168282.3994374</v>
      </c>
      <c r="F6" s="18">
        <f>E6*(1+F5)</f>
        <v>4490592195.457541</v>
      </c>
    </row>
    <row r="7" spans="1:6" x14ac:dyDescent="0.25">
      <c r="A7" t="s">
        <v>5</v>
      </c>
      <c r="B7" s="10">
        <f>Assumptions!B7</f>
        <v>0.1832473584520347</v>
      </c>
      <c r="C7" s="10">
        <f>Assumptions!B7</f>
        <v>0.1832473584520347</v>
      </c>
      <c r="D7" s="10">
        <f>Assumptions!B7</f>
        <v>0.1832473584520347</v>
      </c>
      <c r="E7" s="10">
        <f>Assumptions!B7</f>
        <v>0.1832473584520347</v>
      </c>
      <c r="F7" s="10">
        <f>Assumptions!B7</f>
        <v>0.1832473584520347</v>
      </c>
    </row>
    <row r="8" spans="1:6" x14ac:dyDescent="0.25">
      <c r="A8" t="s">
        <v>44</v>
      </c>
      <c r="B8" s="18">
        <f>B6*B7</f>
        <v>528571572.79694015</v>
      </c>
      <c r="C8" s="18">
        <f>C6*C7</f>
        <v>590422890.985542</v>
      </c>
      <c r="D8" s="18">
        <f>D6*D7</f>
        <v>659511801.5051591</v>
      </c>
      <c r="E8" s="18">
        <f>E6*E7</f>
        <v>736685218.2823503</v>
      </c>
      <c r="F8" s="18">
        <f>F6*F7</f>
        <v>822889157.7029175</v>
      </c>
    </row>
    <row r="9" spans="1:6" x14ac:dyDescent="0.25">
      <c r="A9" t="s">
        <v>45</v>
      </c>
      <c r="B9" s="18">
        <f>B8*(1-Assumptions!B8)</f>
        <v>412593380.3296804</v>
      </c>
      <c r="C9" s="18">
        <f>C8*(1-Assumptions!B8)</f>
        <v>460873397.19522154</v>
      </c>
      <c r="D9" s="18">
        <f>D8*(1-Assumptions!B8)</f>
        <v>514802947.3292666</v>
      </c>
      <c r="E9" s="18">
        <f>E8*(1-Assumptions!B8)</f>
        <v>575043116.3780947</v>
      </c>
      <c r="F9" s="18">
        <f>F8*(1-Assumptions!B8)</f>
        <v>642332347.5697435</v>
      </c>
    </row>
    <row r="10" spans="1:6" x14ac:dyDescent="0.25">
      <c r="A10" t="s">
        <v>46</v>
      </c>
      <c r="B10" s="18">
        <f>B6*Assumptions!B9</f>
        <v>152150474.61740747</v>
      </c>
      <c r="C10" s="18">
        <f>C6*Assumptions!B9</f>
        <v>169954510.82070014</v>
      </c>
      <c r="D10" s="18">
        <f>D6*Assumptions!B9</f>
        <v>189841903.68735674</v>
      </c>
      <c r="E10" s="18">
        <f>E6*Assumptions!B9</f>
        <v>212056439.2295614</v>
      </c>
      <c r="F10" s="18">
        <f>F6*Assumptions!B9</f>
        <v>236870430.3175162</v>
      </c>
    </row>
    <row r="11" spans="1:6" x14ac:dyDescent="0.25">
      <c r="A11" t="s">
        <v>47</v>
      </c>
      <c r="B11" s="18">
        <f>-B6*Assumptions!B10</f>
        <v>-75038040.69955459</v>
      </c>
      <c r="C11" s="18">
        <f>-C6*Assumptions!B10</f>
        <v>-83818690.22824275</v>
      </c>
      <c r="D11" s="18">
        <f>-D6*Assumptions!B10</f>
        <v>-93626816.0266586</v>
      </c>
      <c r="E11" s="18">
        <f>-E6*Assumptions!B10</f>
        <v>-104582649.23276114</v>
      </c>
      <c r="F11" s="18">
        <f>-F6*Assumptions!B10</f>
        <v>-116820489.94839773</v>
      </c>
    </row>
    <row r="12" spans="1:6" x14ac:dyDescent="0.25">
      <c r="A12" t="s">
        <v>48</v>
      </c>
      <c r="B12" s="18">
        <f>-(B6-Assumptions!B29)*Assumptions!B11</f>
        <v>-30333703.431859616</v>
      </c>
      <c r="C12" s="18">
        <f>-(C6-B6)*Assumptions!B11</f>
        <v>-33883231.328100435</v>
      </c>
      <c r="D12" s="18">
        <f>-(D6-C6)*Assumptions!B11</f>
        <v>-37848110.693524554</v>
      </c>
      <c r="E12" s="18">
        <f>-(E6-D6)*Assumptions!B11</f>
        <v>-42276944.28545505</v>
      </c>
      <c r="F12" s="18">
        <f>-(F6-E6)*Assumptions!B11</f>
        <v>-47224022.160272986</v>
      </c>
    </row>
    <row r="13" spans="1:6" x14ac:dyDescent="0.25">
      <c r="A13" s="19" t="s">
        <v>49</v>
      </c>
      <c r="B13" s="20">
        <f>B9+B10+B11+B12</f>
        <v>459372110.8156737</v>
      </c>
      <c r="C13" s="20">
        <f>C9+C10+C11+C12</f>
        <v>513125986.4595785</v>
      </c>
      <c r="D13" s="20">
        <f>D9+D10+D11+D12</f>
        <v>573169924.2964401</v>
      </c>
      <c r="E13" s="20">
        <f>E9+E10+E11+E12</f>
        <v>640239962.0894399</v>
      </c>
      <c r="F13" s="20">
        <f>F9+F10+F11+F12</f>
        <v>715158265.778589</v>
      </c>
    </row>
    <row r="14" spans="1:6" x14ac:dyDescent="0.25">
      <c r="A14" t="s">
        <v>50</v>
      </c>
      <c r="B14" s="21">
        <f>1/(1+Assumptions!$B$26)^(1-0.5*Assumptions!$B$32)</f>
        <v>0.9828864611400036</v>
      </c>
      <c r="C14" s="21">
        <f>1/(1+Assumptions!$B$26)^(2-0.5*Assumptions!$B$32)</f>
        <v>0.9495329909598486</v>
      </c>
      <c r="D14" s="21">
        <f>1/(1+Assumptions!$B$26)^(3-0.5*Assumptions!$B$32)</f>
        <v>0.9173113442578277</v>
      </c>
      <c r="E14" s="21">
        <f>1/(1+Assumptions!$B$26)^(4-0.5*Assumptions!$B$32)</f>
        <v>0.8861831135045675</v>
      </c>
      <c r="F14" s="21">
        <f>1/(1+Assumptions!$B$26)^(5-0.5*Assumptions!$B$32)</f>
        <v>0.8561111944996506</v>
      </c>
    </row>
    <row r="15" spans="1:6" x14ac:dyDescent="0.25">
      <c r="A15" s="19" t="s">
        <v>51</v>
      </c>
      <c r="B15" s="20">
        <f>B13*B14</f>
        <v>451510628.34603107</v>
      </c>
      <c r="C15" s="20">
        <f>C13*C14</f>
        <v>487230052.6621863</v>
      </c>
      <c r="D15" s="20">
        <f>D13*D14</f>
        <v>525775273.74452484</v>
      </c>
      <c r="E15" s="20">
        <f>E13*E14</f>
        <v>567369842.9944661</v>
      </c>
      <c r="F15" s="20">
        <f>F13*F14</f>
        <v>612254997.1720064</v>
      </c>
    </row>
    <row r="17" spans="1:2" x14ac:dyDescent="0.25">
      <c r="A17" s="22" t="s">
        <v>52</v>
      </c>
      <c r="B17" s="23">
        <f>SUM(B15:F15)</f>
        <v>2644140794.9192147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715158265.778589</v>
      </c>
    </row>
    <row r="5" spans="1:2" x14ac:dyDescent="0.25">
      <c r="A5" t="s">
        <v>56</v>
      </c>
      <c r="B5" s="18">
        <f>IF(Assumptions!$B$33=0,B4,B4-Forecast!F11-Forecast!F10-Forecast!F12)</f>
        <v>749928130.3546578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0.20977805226651755</v>
      </c>
    </row>
    <row r="7" spans="1:2" x14ac:dyDescent="0.25">
      <c r="A7" t="s">
        <v>58</v>
      </c>
      <c r="B7" s="18">
        <f>-MAX(Forecast!F9,0)*B6</f>
        <v>-157318462.52567118</v>
      </c>
    </row>
    <row r="8" spans="1:2" x14ac:dyDescent="0.25">
      <c r="A8" t="s">
        <v>59</v>
      </c>
      <c r="B8" s="18">
        <f>IF(OR(Assumptions!$B$33=0,Assumptions!B12&lt;=0),B5,MAX(B5+B7,0))</f>
        <v>592609667.8289866</v>
      </c>
    </row>
    <row r="9" spans="1:2" x14ac:dyDescent="0.25">
      <c r="A9" t="s">
        <v>60</v>
      </c>
      <c r="B9" s="18">
        <f>B8*(1+Assumptions!B12)/(Assumptions!B26-Assumptions!B12)</f>
        <v>59985571383.56658</v>
      </c>
    </row>
    <row r="10" spans="1:2" x14ac:dyDescent="0.25">
      <c r="A10" t="s">
        <v>61</v>
      </c>
      <c r="B10" s="18">
        <f>B9/(1+Assumptions!B26)^(5-0.5*Assumptions!B32)</f>
        <v>51354319169.929245</v>
      </c>
    </row>
    <row r="11" spans="1:2" x14ac:dyDescent="0.25">
      <c r="A11" t="s">
        <v>62</v>
      </c>
      <c r="B11" s="18">
        <f>Forecast!B17+B10</f>
        <v>53998459964.84846</v>
      </c>
    </row>
    <row r="12" spans="1:2" x14ac:dyDescent="0.25">
      <c r="A12" t="s">
        <v>63</v>
      </c>
      <c r="B12" s="18">
        <f>-Assumptions!B30</f>
        <v>-770000000</v>
      </c>
    </row>
    <row r="13" spans="1:2" x14ac:dyDescent="0.25">
      <c r="A13" t="s">
        <v>64</v>
      </c>
      <c r="B13" s="18">
        <f>B11+B12</f>
        <v>53228459964.84846</v>
      </c>
    </row>
    <row r="14" spans="1:2" x14ac:dyDescent="0.25">
      <c r="A14" s="19" t="s">
        <v>65</v>
      </c>
      <c r="B14" s="24">
        <f>B13/Assumptions!B31</f>
        <v>140.37041129970584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1059759588.0204337</v>
      </c>
    </row>
    <row r="18" spans="1:2" x14ac:dyDescent="0.25">
      <c r="A18" t="s">
        <v>60</v>
      </c>
      <c r="B18" s="18">
        <f>B17*Assumptions!B13</f>
        <v>8478076704.163469</v>
      </c>
    </row>
    <row r="19" spans="1:2" x14ac:dyDescent="0.25">
      <c r="A19" t="s">
        <v>61</v>
      </c>
      <c r="B19" s="18">
        <f>B18/(1+Assumptions!B26)^(5-0.5*Assumptions!B32)</f>
        <v>7258176374.261048</v>
      </c>
    </row>
    <row r="20" spans="1:2" x14ac:dyDescent="0.25">
      <c r="A20" t="s">
        <v>62</v>
      </c>
      <c r="B20" s="18">
        <f>Forecast!B17+B19</f>
        <v>9902317169.180264</v>
      </c>
    </row>
    <row r="21" spans="1:2" x14ac:dyDescent="0.25">
      <c r="A21" t="s">
        <v>63</v>
      </c>
      <c r="B21" s="18">
        <f>-Assumptions!B30</f>
        <v>-770000000</v>
      </c>
    </row>
    <row r="22" spans="1:2" x14ac:dyDescent="0.25">
      <c r="A22" t="s">
        <v>64</v>
      </c>
      <c r="B22" s="18">
        <f>B20+B21</f>
        <v>9132317169.180264</v>
      </c>
    </row>
    <row r="23" spans="1:2" x14ac:dyDescent="0.25">
      <c r="A23" s="19" t="s">
        <v>65</v>
      </c>
      <c r="B23" s="25">
        <f>B22/Assumptions!B31</f>
        <v>24.083114897627276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3490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14037.041129970583</v>
      </c>
    </row>
    <row r="29" spans="1:2" x14ac:dyDescent="0.25">
      <c r="A29" s="19" t="s">
        <v>73</v>
      </c>
      <c r="B29" s="12">
        <f>B28/B26-1</f>
        <v>3.022074822341141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0.015126</v>
      </c>
      <c r="B5" s="31">
        <v>13021.527950916558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0.025126</v>
      </c>
      <c r="B6" s="31">
        <v>160.09907053420218</v>
      </c>
      <c r="C6" s="31">
        <v>298.0059119510742</v>
      </c>
      <c r="D6" s="31">
        <v>11375.010738320616</v>
      </c>
      <c r="E6" s="31" t="s">
        <v>76</v>
      </c>
      <c r="F6" s="31" t="s">
        <v>76</v>
      </c>
    </row>
    <row r="7" spans="1:6" x14ac:dyDescent="0.25">
      <c r="A7" s="30">
        <v>0.035126</v>
      </c>
      <c r="B7" s="31">
        <v>79.58173578035763</v>
      </c>
      <c r="C7" s="31">
        <v>99.95336313325838</v>
      </c>
      <c r="D7" s="32">
        <v>140.37297827500296</v>
      </c>
      <c r="E7" s="31">
        <v>259.50617169186876</v>
      </c>
      <c r="F7" s="31">
        <v>9828.017023755881</v>
      </c>
    </row>
    <row r="8" spans="1:6" x14ac:dyDescent="0.25">
      <c r="A8" s="30">
        <v>0.045126</v>
      </c>
      <c r="B8" s="31">
        <v>52.51977439948354</v>
      </c>
      <c r="C8" s="31">
        <v>59.54280068845205</v>
      </c>
      <c r="D8" s="31">
        <v>70.02155544581323</v>
      </c>
      <c r="E8" s="31">
        <v>87.38298082586374</v>
      </c>
      <c r="F8" s="31">
        <v>121.82261893213312</v>
      </c>
    </row>
    <row r="9" spans="1:6" x14ac:dyDescent="0.25">
      <c r="A9" s="30">
        <v>0.055126</v>
      </c>
      <c r="B9" s="31">
        <v>38.94758217888843</v>
      </c>
      <c r="C9" s="31">
        <v>42.13757097503392</v>
      </c>
      <c r="D9" s="31">
        <v>46.36480838300721</v>
      </c>
      <c r="E9" s="31">
        <v>52.24852265949133</v>
      </c>
      <c r="F9" s="31">
        <v>61.02329360313789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2582300000</v>
      </c>
      <c r="C5" s="18">
        <v>2248100000</v>
      </c>
      <c r="D5" s="18">
        <v>2034100000</v>
      </c>
      <c r="E5" s="18">
        <v>1852800000</v>
      </c>
      <c r="F5" s="8" t="s">
        <v>85</v>
      </c>
    </row>
    <row r="6" spans="1:6" x14ac:dyDescent="0.25">
      <c r="A6" t="s">
        <v>44</v>
      </c>
      <c r="B6" s="18">
        <v>525800000</v>
      </c>
      <c r="C6" s="18">
        <v>409500000</v>
      </c>
      <c r="D6" s="18">
        <v>367700000</v>
      </c>
      <c r="E6" s="18">
        <v>308400000</v>
      </c>
      <c r="F6" s="8" t="s">
        <v>86</v>
      </c>
    </row>
    <row r="7" spans="1:6" x14ac:dyDescent="0.25">
      <c r="A7" t="s">
        <v>87</v>
      </c>
      <c r="B7" s="18">
        <v>131000000</v>
      </c>
      <c r="C7" s="18">
        <v>120300000</v>
      </c>
      <c r="D7" s="18">
        <v>105600000</v>
      </c>
      <c r="E7" s="18">
        <v>101600000</v>
      </c>
      <c r="F7" s="8" t="s">
        <v>88</v>
      </c>
    </row>
    <row r="8" spans="1:6" x14ac:dyDescent="0.25">
      <c r="A8" t="s">
        <v>89</v>
      </c>
      <c r="B8" s="18">
        <v>71000000</v>
      </c>
      <c r="C8" s="18">
        <v>59400000</v>
      </c>
      <c r="D8" s="18">
        <v>51600000</v>
      </c>
      <c r="E8" s="18">
        <v>45900000</v>
      </c>
      <c r="F8" s="8" t="s">
        <v>90</v>
      </c>
    </row>
    <row r="9" spans="1:6" x14ac:dyDescent="0.25">
      <c r="A9" t="s">
        <v>91</v>
      </c>
      <c r="B9" s="18">
        <v>81100000</v>
      </c>
      <c r="C9" s="18">
        <v>-41300000</v>
      </c>
      <c r="D9" s="18">
        <v>18200000</v>
      </c>
      <c r="E9" s="18">
        <v>90200000</v>
      </c>
      <c r="F9" s="8" t="s">
        <v>92</v>
      </c>
    </row>
    <row r="10" spans="1:6" x14ac:dyDescent="0.25">
      <c r="A10" t="s">
        <v>93</v>
      </c>
      <c r="B10" s="18">
        <v>913400000</v>
      </c>
      <c r="C10" s="18">
        <v>849000000</v>
      </c>
      <c r="D10" s="18">
        <v>795900000</v>
      </c>
      <c r="E10" s="18">
        <v>766200000</v>
      </c>
      <c r="F10" s="8" t="s">
        <v>94</v>
      </c>
    </row>
    <row r="11" spans="1:6" x14ac:dyDescent="0.25">
      <c r="A11" t="s">
        <v>95</v>
      </c>
      <c r="B11" s="18">
        <v>143400000</v>
      </c>
      <c r="C11" s="18">
        <v>313200000</v>
      </c>
      <c r="D11" s="18">
        <v>142700000</v>
      </c>
      <c r="E11" s="18">
        <v>169500000</v>
      </c>
      <c r="F11" s="8" t="s">
        <v>96</v>
      </c>
    </row>
    <row r="12" spans="1:6" x14ac:dyDescent="0.25">
      <c r="A12" t="s">
        <v>32</v>
      </c>
      <c r="B12" s="34">
        <v>379200000</v>
      </c>
      <c r="C12" s="34">
        <v>379200000</v>
      </c>
      <c r="D12" s="34">
        <v>378700000</v>
      </c>
      <c r="E12" s="34">
        <v>379100000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2026-09-19T01:58:58Z</dcterms:modified>
</cp:coreProperties>
</file>