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<sst xmlns="http://schemas.openxmlformats.org/spreadsheetml/2006/main" count="112" uniqueCount="100">
  <si>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Haleon plc (HLN.L)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</si>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</sst>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0.005252646289397811</v>
      </c>
    </row>
    <row r="7" spans="1:2" x14ac:dyDescent="0.25">
      <c r="A7" t="s">
        <v>5</v>
      </c>
      <c r="B7" s="6">
        <v>0.18993668325687885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0.028813565672234823</v>
      </c>
    </row>
    <row r="10" spans="1:2" x14ac:dyDescent="0.25">
      <c r="A10" t="s">
        <v>8</v>
      </c>
      <c r="B10" s="6">
        <v>0.031422543665491284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13.452168958152958</v>
      </c>
    </row>
    <row r="14" spans="1:3" x14ac:dyDescent="0.25">
      <c r="A14" t="s">
        <v>12</v>
      </c>
      <c r="B14" s="6">
        <v>0.06362122985691898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0.49415</v>
      </c>
      <c r="C19" s="8" t="s">
        <v>19</v>
      </c>
    </row>
    <row r="20" spans="1:2" x14ac:dyDescent="0.25">
      <c r="A20" t="s">
        <v>20</v>
      </c>
      <c r="B20" s="10">
        <f>B17+B19*B18</f>
        <v>0.07217825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29965412352</v>
      </c>
    </row>
    <row r="23" spans="1:2" x14ac:dyDescent="0.25">
      <c r="A23" t="s">
        <v>24</v>
      </c>
      <c r="B23" s="11">
        <v>8584000000</v>
      </c>
    </row>
    <row r="24" spans="1:2" x14ac:dyDescent="0.25">
      <c r="A24" t="s">
        <v>25</v>
      </c>
      <c r="B24" s="10">
        <f>B22/(B22+B23)</f>
        <v>0.7773247508517559</v>
      </c>
    </row>
    <row r="25" spans="1:2" x14ac:dyDescent="0.25">
      <c r="A25" t="s">
        <v>26</v>
      </c>
      <c r="B25" s="10">
        <f>1-B24</f>
        <v>0.2226752491482441</v>
      </c>
    </row>
    <row r="26" spans="1:2" x14ac:dyDescent="0.25">
      <c r="A26" t="s">
        <v>27</v>
      </c>
      <c r="B26" s="12">
        <f>B24*B20+B25*B21*(1-B8)</f>
        <v>0.06362122985691898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11030000000</v>
      </c>
      <c r="C29" s="8" t="s">
        <v>30</v>
      </c>
    </row>
    <row r="30" spans="1:2" x14ac:dyDescent="0.25">
      <c r="A30" t="s">
        <v>31</v>
      </c>
      <c r="B30" s="11">
        <v>7324000000</v>
      </c>
    </row>
    <row r="31" spans="1:2" x14ac:dyDescent="0.25">
      <c r="A31" t="s">
        <v>32</v>
      </c>
      <c r="B31" s="13">
        <v>8905305590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0.005252646289397811</v>
      </c>
      <c r="C5" s="10">
        <f>Assumptions!B6</f>
        <v>0.005252646289397811</v>
      </c>
      <c r="D5" s="10">
        <f>Assumptions!B6</f>
        <v>0.005252646289397811</v>
      </c>
      <c r="E5" s="10">
        <f>Assumptions!B6</f>
        <v>0.005252646289397811</v>
      </c>
      <c r="F5" s="10">
        <f>Assumptions!B6</f>
        <v>0.005252646289397811</v>
      </c>
    </row>
    <row r="6" spans="1:6" x14ac:dyDescent="0.25">
      <c r="A6" t="s">
        <v>43</v>
      </c>
      <c r="B6" s="18">
        <f>Assumptions!B29*(1+B5)</f>
        <v>11087936688.572058</v>
      </c>
      <c r="C6" s="18">
        <f>B6*(1+C5)</f>
        <v>11146177698.076365</v>
      </c>
      <c r="D6" s="18">
        <f>C6*(1+D5)</f>
        <v>11204724627.003134</v>
      </c>
      <c r="E6" s="18">
        <f>D6*(1+E5)</f>
        <v>11263579082.238886</v>
      </c>
      <c r="F6" s="18">
        <f>E6*(1+F5)</f>
        <v>11322742679.110546</v>
      </c>
    </row>
    <row r="7" spans="1:6" x14ac:dyDescent="0.25">
      <c r="A7" t="s">
        <v>5</v>
      </c>
      <c r="B7" s="10">
        <f>Assumptions!B7</f>
        <v>0.18993668325687885</v>
      </c>
      <c r="C7" s="10">
        <f>Assumptions!B7</f>
        <v>0.18993668325687885</v>
      </c>
      <c r="D7" s="10">
        <f>Assumptions!B7</f>
        <v>0.18993668325687885</v>
      </c>
      <c r="E7" s="10">
        <f>Assumptions!B7</f>
        <v>0.18993668325687885</v>
      </c>
      <c r="F7" s="10">
        <f>Assumptions!B7</f>
        <v>0.18993668325687885</v>
      </c>
    </row>
    <row r="8" spans="1:6" x14ac:dyDescent="0.25">
      <c r="A8" t="s">
        <v>44</v>
      </c>
      <c r="B8" s="18">
        <f>B6*B7</f>
        <v>2106005918.789637</v>
      </c>
      <c r="C8" s="18">
        <f>C6*C7</f>
        <v>2117068022.9644175</v>
      </c>
      <c r="D8" s="18">
        <f>D6*D7</f>
        <v>2128188232.459644</v>
      </c>
      <c r="E8" s="18">
        <f>E6*E7</f>
        <v>2139366852.4820135</v>
      </c>
      <c r="F8" s="18">
        <f>F6*F7</f>
        <v>2150604189.8413634</v>
      </c>
    </row>
    <row r="9" spans="1:6" x14ac:dyDescent="0.25">
      <c r="A9" t="s">
        <v>45</v>
      </c>
      <c r="B9" s="18">
        <f>B8*(1-Assumptions!B8)</f>
        <v>1579504439.092228</v>
      </c>
      <c r="C9" s="18">
        <f>C8*(1-Assumptions!B8)</f>
        <v>1587801017.223313</v>
      </c>
      <c r="D9" s="18">
        <f>D8*(1-Assumptions!B8)</f>
        <v>1596141174.344733</v>
      </c>
      <c r="E9" s="18">
        <f>E8*(1-Assumptions!B8)</f>
        <v>1604525139.36151</v>
      </c>
      <c r="F9" s="18">
        <f>F8*(1-Assumptions!B8)</f>
        <v>1612953142.3810225</v>
      </c>
    </row>
    <row r="10" spans="1:6" x14ac:dyDescent="0.25">
      <c r="A10" t="s">
        <v>46</v>
      </c>
      <c r="B10" s="18">
        <f>B6*Assumptions!B9</f>
        <v>319482991.9457529</v>
      </c>
      <c r="C10" s="18">
        <f>C6*Assumptions!B9</f>
        <v>321161123.0979225</v>
      </c>
      <c r="D10" s="18">
        <f>D6*Assumptions!B9</f>
        <v>322848068.87946165</v>
      </c>
      <c r="E10" s="18">
        <f>E6*Assumptions!B9</f>
        <v>324543875.5905006</v>
      </c>
      <c r="F10" s="18">
        <f>F6*Assumptions!B9</f>
        <v>326248589.7743678</v>
      </c>
    </row>
    <row r="11" spans="1:6" x14ac:dyDescent="0.25">
      <c r="A11" t="s">
        <v>47</v>
      </c>
      <c r="B11" s="18">
        <f>-B6*Assumptions!B10</f>
        <v>-348411174.75685835</v>
      </c>
      <c r="C11" s="18">
        <f>-C6*Assumptions!B10</f>
        <v>-350241255.4211297</v>
      </c>
      <c r="D11" s="18">
        <f>-D6*Assumptions!B10</f>
        <v>-352080948.8518115</v>
      </c>
      <c r="E11" s="18">
        <f>-E6*Assumptions!B10</f>
        <v>-353930305.5413656</v>
      </c>
      <c r="F11" s="18">
        <f>-F6*Assumptions!B10</f>
        <v>-355789376.2474729</v>
      </c>
    </row>
    <row r="12" spans="1:6" x14ac:dyDescent="0.25">
      <c r="A12" t="s">
        <v>48</v>
      </c>
      <c r="B12" s="18">
        <f>-(B6-Assumptions!B29)*Assumptions!B11</f>
        <v>-57936688.572057724</v>
      </c>
      <c r="C12" s="18">
        <f>-(C6-B6)*Assumptions!B11</f>
        <v>-58241009.50430679</v>
      </c>
      <c r="D12" s="18">
        <f>-(D6-C6)*Assumptions!B11</f>
        <v>-58546928.92676926</v>
      </c>
      <c r="E12" s="18">
        <f>-(E6-D6)*Assumptions!B11</f>
        <v>-58854455.235752106</v>
      </c>
      <c r="F12" s="18">
        <f>-(F6-E6)*Assumptions!B11</f>
        <v>-59163596.87166023</v>
      </c>
    </row>
    <row r="13" spans="1:6" x14ac:dyDescent="0.25">
      <c r="A13" s="19" t="s">
        <v>49</v>
      </c>
      <c r="B13" s="20">
        <f>B9+B10+B11+B12</f>
        <v>1492639567.7090647</v>
      </c>
      <c r="C13" s="20">
        <f>C9+C10+C11+C12</f>
        <v>1500479875.3957992</v>
      </c>
      <c r="D13" s="20">
        <f>D9+D10+D11+D12</f>
        <v>1508361365.4456139</v>
      </c>
      <c r="E13" s="20">
        <f>E9+E10+E11+E12</f>
        <v>1516284254.174893</v>
      </c>
      <c r="F13" s="20">
        <f>F9+F10+F11+F12</f>
        <v>1524248759.0362573</v>
      </c>
    </row>
    <row r="14" spans="1:6" x14ac:dyDescent="0.25">
      <c r="A14" t="s">
        <v>50</v>
      </c>
      <c r="B14" s="21">
        <f>1/(1+Assumptions!$B$26)^(1-0.5*Assumptions!$B$32)</f>
        <v>0.969631021282189</v>
      </c>
      <c r="C14" s="21">
        <f>1/(1+Assumptions!$B$26)^(2-0.5*Assumptions!$B$32)</f>
        <v>0.9116318799058066</v>
      </c>
      <c r="D14" s="21">
        <f>1/(1+Assumptions!$B$26)^(3-0.5*Assumptions!$B$32)</f>
        <v>0.8571019967591673</v>
      </c>
      <c r="E14" s="21">
        <f>1/(1+Assumptions!$B$26)^(4-0.5*Assumptions!$B$32)</f>
        <v>0.8058338557932573</v>
      </c>
      <c r="F14" s="21">
        <f>1/(1+Assumptions!$B$26)^(5-0.5*Assumptions!$B$32)</f>
        <v>0.7576323536731775</v>
      </c>
    </row>
    <row r="15" spans="1:6" x14ac:dyDescent="0.25">
      <c r="A15" s="19" t="s">
        <v>51</v>
      </c>
      <c r="B15" s="20">
        <f>B13*B14</f>
        <v>1447309628.4439456</v>
      </c>
      <c r="C15" s="20">
        <f>C13*C14</f>
        <v>1367885289.5679028</v>
      </c>
      <c r="D15" s="20">
        <f>D13*D14</f>
        <v>1292819538.1578197</v>
      </c>
      <c r="E15" s="20">
        <f>E13*E14</f>
        <v>1221873187.0203574</v>
      </c>
      <c r="F15" s="20">
        <f>F13*F14</f>
        <v>1154820174.8920596</v>
      </c>
    </row>
    <row r="17" spans="1:2" x14ac:dyDescent="0.25">
      <c r="A17" s="22" t="s">
        <v>52</v>
      </c>
      <c r="B17" s="23">
        <f>SUM(B15:F15)</f>
        <v>6484707818.082085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1524248759.0362573</v>
      </c>
    </row>
    <row r="5" spans="1:2" x14ac:dyDescent="0.25">
      <c r="A5" t="s">
        <v>56</v>
      </c>
      <c r="B5" s="18">
        <f>IF(Assumptions!$B$33=0,B4,B4-Forecast!F11-Forecast!F10-Forecast!F12)</f>
        <v>1695969482.6226583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0.3929505930052558</v>
      </c>
    </row>
    <row r="7" spans="1:2" x14ac:dyDescent="0.25">
      <c r="A7" t="s">
        <v>58</v>
      </c>
      <c r="B7" s="18">
        <f>-MAX(Forecast!F9,0)*B6</f>
        <v>-666432213.9153905</v>
      </c>
    </row>
    <row r="8" spans="1:2" x14ac:dyDescent="0.25">
      <c r="A8" t="s">
        <v>59</v>
      </c>
      <c r="B8" s="18">
        <f>IF(OR(Assumptions!$B$33=0,Assumptions!B12&lt;=0),B5,MAX(B5+B7,0))</f>
        <v>1029537268.7072678</v>
      </c>
    </row>
    <row r="9" spans="1:2" x14ac:dyDescent="0.25">
      <c r="A9" t="s">
        <v>60</v>
      </c>
      <c r="B9" s="18">
        <f>B8*(1+Assumptions!B12)/(Assumptions!B26-Assumptions!B12)</f>
        <v>27323720770.531006</v>
      </c>
    </row>
    <row r="10" spans="1:2" x14ac:dyDescent="0.25">
      <c r="A10" t="s">
        <v>61</v>
      </c>
      <c r="B10" s="18">
        <f>B9/(1+Assumptions!B26)^(5-0.5*Assumptions!B32)</f>
        <v>20701334878.48609</v>
      </c>
    </row>
    <row r="11" spans="1:2" x14ac:dyDescent="0.25">
      <c r="A11" t="s">
        <v>62</v>
      </c>
      <c r="B11" s="18">
        <f>Forecast!B17+B10</f>
        <v>27186042696.568176</v>
      </c>
    </row>
    <row r="12" spans="1:2" x14ac:dyDescent="0.25">
      <c r="A12" t="s">
        <v>63</v>
      </c>
      <c r="B12" s="18">
        <f>-Assumptions!B30</f>
        <v>-7324000000</v>
      </c>
    </row>
    <row r="13" spans="1:2" x14ac:dyDescent="0.25">
      <c r="A13" t="s">
        <v>64</v>
      </c>
      <c r="B13" s="18">
        <f>B11+B12</f>
        <v>19862042696.568176</v>
      </c>
    </row>
    <row r="14" spans="1:2" x14ac:dyDescent="0.25">
      <c r="A14" s="19" t="s">
        <v>65</v>
      </c>
      <c r="B14" s="24">
        <f>B13/Assumptions!B31</f>
        <v>2.230360597492778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2476852779.6157312</v>
      </c>
    </row>
    <row r="18" spans="1:2" x14ac:dyDescent="0.25">
      <c r="A18" t="s">
        <v>60</v>
      </c>
      <c r="B18" s="18">
        <f>B17*Assumptions!B13</f>
        <v>33319042075.86161</v>
      </c>
    </row>
    <row r="19" spans="1:2" x14ac:dyDescent="0.25">
      <c r="A19" t="s">
        <v>61</v>
      </c>
      <c r="B19" s="18">
        <f>B18/(1+Assumptions!B26)^(5-0.5*Assumptions!B32)</f>
        <v>25243584270.070667</v>
      </c>
    </row>
    <row r="20" spans="1:2" x14ac:dyDescent="0.25">
      <c r="A20" t="s">
        <v>62</v>
      </c>
      <c r="B20" s="18">
        <f>Forecast!B17+B19</f>
        <v>31728292088.152752</v>
      </c>
    </row>
    <row r="21" spans="1:2" x14ac:dyDescent="0.25">
      <c r="A21" t="s">
        <v>63</v>
      </c>
      <c r="B21" s="18">
        <f>-Assumptions!B30</f>
        <v>-7324000000</v>
      </c>
    </row>
    <row r="22" spans="1:2" x14ac:dyDescent="0.25">
      <c r="A22" t="s">
        <v>64</v>
      </c>
      <c r="B22" s="18">
        <f>B20+B21</f>
        <v>24404292088.152752</v>
      </c>
    </row>
    <row r="23" spans="1:2" x14ac:dyDescent="0.25">
      <c r="A23" s="19" t="s">
        <v>65</v>
      </c>
      <c r="B23" s="25">
        <f>B22/Assumptions!B31</f>
        <v>2.7404216330944293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340.7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223.0360597492778</v>
      </c>
    </row>
    <row r="29" spans="1:2" x14ac:dyDescent="0.25">
      <c r="A29" s="19" t="s">
        <v>73</v>
      </c>
      <c r="B29" s="12">
        <f>B28/B26-1</f>
        <v>-0.3453593784875908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0.043621</v>
      </c>
      <c r="B5" s="31">
        <v>4.132155117727758</v>
      </c>
      <c r="C5" s="31">
        <v>4.484132400804016</v>
      </c>
      <c r="D5" s="31">
        <v>5.018161129160719</v>
      </c>
      <c r="E5" s="31">
        <v>5.934723769518865</v>
      </c>
      <c r="F5" s="31">
        <v>7.899405367699316</v>
      </c>
    </row>
    <row r="6" spans="1:6" x14ac:dyDescent="0.25">
      <c r="A6" s="30">
        <v>0.053621</v>
      </c>
      <c r="B6" s="31">
        <v>2.8987750788459365</v>
      </c>
      <c r="C6" s="31">
        <v>2.9810221503653738</v>
      </c>
      <c r="D6" s="31">
        <v>3.087661449065732</v>
      </c>
      <c r="E6" s="31">
        <v>3.234182725919196</v>
      </c>
      <c r="F6" s="31">
        <v>3.4527125945499844</v>
      </c>
    </row>
    <row r="7" spans="1:6" x14ac:dyDescent="0.25">
      <c r="A7" s="30">
        <v>0.063621</v>
      </c>
      <c r="B7" s="31">
        <v>2.2076924366573967</v>
      </c>
      <c r="C7" s="31">
        <v>2.219032034538821</v>
      </c>
      <c r="D7" s="32">
        <v>2.2303716324202436</v>
      </c>
      <c r="E7" s="31">
        <v>2.241711230301668</v>
      </c>
      <c r="F7" s="31">
        <v>2.253050828183091</v>
      </c>
    </row>
    <row r="8" spans="1:6" x14ac:dyDescent="0.25">
      <c r="A8" s="30">
        <v>0.073621</v>
      </c>
      <c r="B8" s="31">
        <v>1.7969631864074114</v>
      </c>
      <c r="C8" s="31">
        <v>1.8063584292220858</v>
      </c>
      <c r="D8" s="31">
        <v>1.8157536720367586</v>
      </c>
      <c r="E8" s="31">
        <v>1.8251489148514326</v>
      </c>
      <c r="F8" s="31">
        <v>1.834544157666106</v>
      </c>
    </row>
    <row r="9" spans="1:6" x14ac:dyDescent="0.25">
      <c r="A9" s="30">
        <v>0.083621</v>
      </c>
      <c r="B9" s="31">
        <v>1.4848598162283622</v>
      </c>
      <c r="C9" s="31">
        <v>1.4927935111422637</v>
      </c>
      <c r="D9" s="31">
        <v>1.5007272060561654</v>
      </c>
      <c r="E9" s="31">
        <v>1.5086609009700669</v>
      </c>
      <c r="F9" s="31">
        <v>1.5165945958839682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11030000000</v>
      </c>
      <c r="C5" s="18">
        <v>11233000000</v>
      </c>
      <c r="D5" s="18">
        <v>11302000000</v>
      </c>
      <c r="E5" s="18">
        <v>10858000000</v>
      </c>
      <c r="F5" s="8" t="s">
        <v>84</v>
      </c>
    </row>
    <row r="6" spans="1:6" x14ac:dyDescent="0.25">
      <c r="A6" t="s">
        <v>44</v>
      </c>
      <c r="B6" s="18">
        <v>2412000000</v>
      </c>
      <c r="C6" s="18">
        <v>2206000000</v>
      </c>
      <c r="D6" s="18">
        <v>1996000000</v>
      </c>
      <c r="E6" s="18">
        <v>1825000000</v>
      </c>
      <c r="F6" s="8" t="s">
        <v>85</v>
      </c>
    </row>
    <row r="7" spans="1:6" x14ac:dyDescent="0.25">
      <c r="A7" t="s">
        <v>86</v>
      </c>
      <c r="B7" s="18">
        <v>360000000</v>
      </c>
      <c r="C7" s="18">
        <v>324000000</v>
      </c>
      <c r="D7" s="18">
        <v>309000000</v>
      </c>
      <c r="E7" s="18">
        <v>287000000</v>
      </c>
      <c r="F7" s="8" t="s">
        <v>87</v>
      </c>
    </row>
    <row r="8" spans="1:6" x14ac:dyDescent="0.25">
      <c r="A8" t="s">
        <v>88</v>
      </c>
      <c r="B8" s="18">
        <v>413000000</v>
      </c>
      <c r="C8" s="18">
        <v>318000000</v>
      </c>
      <c r="D8" s="18">
        <v>336000000</v>
      </c>
      <c r="E8" s="18">
        <v>328000000</v>
      </c>
      <c r="F8" s="8" t="s">
        <v>89</v>
      </c>
    </row>
    <row r="9" spans="1:6" x14ac:dyDescent="0.25">
      <c r="A9" t="s">
        <v>90</v>
      </c>
      <c r="B9" s="18">
        <v>-256000000</v>
      </c>
      <c r="C9" s="18">
        <v>-206000000</v>
      </c>
      <c r="D9" s="18">
        <v>107000000</v>
      </c>
      <c r="E9" s="18">
        <v>-181000000</v>
      </c>
      <c r="F9" s="8" t="s">
        <v>91</v>
      </c>
    </row>
    <row r="10" spans="1:6" x14ac:dyDescent="0.25">
      <c r="A10" t="s">
        <v>92</v>
      </c>
      <c r="B10" s="18">
        <v>8584000000</v>
      </c>
      <c r="C10" s="18">
        <v>10102000000</v>
      </c>
      <c r="D10" s="18">
        <v>9431000000</v>
      </c>
      <c r="E10" s="18">
        <v>10440000000</v>
      </c>
      <c r="F10" s="8" t="s">
        <v>93</v>
      </c>
    </row>
    <row r="11" spans="1:6" x14ac:dyDescent="0.25">
      <c r="A11" t="s">
        <v>94</v>
      </c>
      <c r="B11" s="18">
        <v>1260000000</v>
      </c>
      <c r="C11" s="18">
        <v>2195000000</v>
      </c>
      <c r="D11" s="18">
        <v>994000000</v>
      </c>
      <c r="E11" s="18">
        <v>606000000</v>
      </c>
      <c r="F11" s="8" t="s">
        <v>95</v>
      </c>
    </row>
    <row r="12" spans="1:6" x14ac:dyDescent="0.25">
      <c r="A12" t="s">
        <v>32</v>
      </c>
      <c r="B12" s="34">
        <v>8905305590</v>
      </c>
      <c r="C12" s="34">
        <v>9184713376</v>
      </c>
      <c r="D12" s="34">
        <v>9283185841</v>
      </c>
      <c r="E12" s="34">
        <v>9235000000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