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<sst xmlns="http://schemas.openxmlformats.org/spreadsheetml/2006/main" count="120" uniqueCount="107">
  <si>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Hilton Worldwide Holdings Inc. (HLT)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</si>
  <si>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</si>
  <si>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</si>
  <si>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</si>
  <si>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</si>
  <si>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</si>
  <si>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</si>
  <si>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</si>
  <si>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</si>
  <si>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</si>
  <si>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</si>
  <si>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</si>
  <si>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</si>
  <si>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</si>
  <si>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</si>
  <si>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</si>
  <si>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</si>
  <si>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</si>
  <si>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</si>
  <si>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</si>
  <si>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</si>
  <si>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</si>
  <si>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</si>
  <si>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</si>
  <si>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4.3x interest cover. Book interest / average debt was lower, at 5.0%.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</si>
  <si>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</si>
  <si>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</si>
  <si>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</si>
  <si>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</si>
  <si>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</si>
  <si>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</si>
  <si>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</si>
  <si>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</si>
  <si>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</si>
  <si>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</si>
  <si>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</si>
  <si>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</si>
  <si>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</si>
  <si>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</si>
  <si>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</si>
  <si>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</si>
  <si>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</si>
  <si>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</si>
  <si>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</si>
  <si>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</si>
  <si>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</si>
  <si>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</si>
  <si>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</si>
  <si>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</si>
  <si>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</si>
  <si>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</si>
  <si>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</si>
  <si>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</si>
  <si>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</si>
  <si>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</si>
  <si>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</si>
  <si>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</si>
  <si>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</si>
  <si>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</si>
  <si>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</si>
  <si>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</si>
  <si>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</si>
  <si>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</si>
  <si>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</si>
  <si>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</si>
  <si>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</si>
  <si>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</si>
  <si>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</si>
  <si>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</si>
  <si>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</si>
  <si>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</si>
  <si>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</si>
  <si>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</si>
  <si>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</si>
  <si>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</si>
  <si>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</si>
  <si>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</si>
  <si>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</si>
  <si>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</si>
  <si>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</si>
  <si>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</si>
  <si>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</si>
  <si>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</si>
  <si>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</si>
  <si>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</si>
  <si>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</si>
  <si>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</si>
  <si>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</si>
  <si>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</si>
  <si>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</si>
  <si>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</si>
  <si>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</si>
  <si>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</si>
  <si>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</si>
  <si>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</si>
  <si>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</si>
  <si>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</si>
  <si>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</si>
  <si>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</si>
  <si>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</si>
  <si>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</si>
  <si>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</si>
  <si>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</si>
  <si>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</si>
  <si>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</si>
  <si>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31.9x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</si>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</sst>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0.0784843732868179</v>
      </c>
    </row>
    <row r="7" spans="1:2" x14ac:dyDescent="0.25">
      <c r="A7" t="s">
        <v>4</v>
      </c>
      <c r="B7" s="5">
        <v>0.22378316488435496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0.015149123207539158</v>
      </c>
    </row>
    <row r="10" spans="1:3" x14ac:dyDescent="0.25">
      <c r="A10" t="s">
        <v>7</v>
      </c>
      <c r="B10" s="5">
        <v>0.017211472552760784</v>
      </c>
      <c r="C10" s="6" t="s">
        <v>8</v>
      </c>
    </row>
    <row r="11" spans="1:2" x14ac:dyDescent="0.25">
      <c r="A11" t="s">
        <v>9</v>
      </c>
      <c r="B11" s="5">
        <v>0.1071053040389452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0.2565931720348409</v>
      </c>
      <c r="C14" s="6" t="s">
        <v>13</v>
      </c>
    </row>
    <row r="15" spans="1:3" x14ac:dyDescent="0.25">
      <c r="A15" t="s">
        <v>14</v>
      </c>
      <c r="B15" s="5">
        <v>0.015149123207539158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1.07035</v>
      </c>
      <c r="C19" s="6" t="s">
        <v>21</v>
      </c>
    </row>
    <row r="20" spans="1:2" x14ac:dyDescent="0.25">
      <c r="A20" t="s">
        <v>22</v>
      </c>
      <c r="B20" s="9">
        <f>B17+B19*B18</f>
        <v>0.094215805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79416254464</v>
      </c>
    </row>
    <row r="23" spans="1:2" x14ac:dyDescent="0.25">
      <c r="A23" t="s">
        <v>26</v>
      </c>
      <c r="B23" s="10">
        <v>13093000000</v>
      </c>
    </row>
    <row r="24" spans="1:2" x14ac:dyDescent="0.25">
      <c r="A24" t="s">
        <v>27</v>
      </c>
      <c r="B24" s="9">
        <f>B22/(B22+B23)</f>
        <v>0.8584682140628952</v>
      </c>
    </row>
    <row r="25" spans="1:2" x14ac:dyDescent="0.25">
      <c r="A25" t="s">
        <v>28</v>
      </c>
      <c r="B25" s="9">
        <f>1-B24</f>
        <v>0.1415317859371048</v>
      </c>
    </row>
    <row r="26" spans="1:2" x14ac:dyDescent="0.25">
      <c r="A26" t="s">
        <v>29</v>
      </c>
      <c r="B26" s="11">
        <f>B24*B20+B25*B21*(1-B8)</f>
        <v>0.08722537954676433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12039000000</v>
      </c>
      <c r="C29" s="6" t="s">
        <v>32</v>
      </c>
    </row>
    <row r="30" spans="1:2" x14ac:dyDescent="0.25">
      <c r="A30" t="s">
        <v>33</v>
      </c>
      <c r="B30" s="10">
        <v>12175000000</v>
      </c>
    </row>
    <row r="31" spans="1:2" x14ac:dyDescent="0.25">
      <c r="A31" t="s">
        <v>34</v>
      </c>
      <c r="B31" s="12">
        <v>238000000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0.0784843732868179</v>
      </c>
      <c r="C5" s="5">
        <v>0.08595941043131106</v>
      </c>
      <c r="D5" s="5">
        <v>0.07833948412739718</v>
      </c>
      <c r="E5" s="5">
        <v>0.0707195578234833</v>
      </c>
      <c r="F5" s="5">
        <v>0.0630996315195694</v>
      </c>
      <c r="G5" s="5">
        <v>0.055479705215655525</v>
      </c>
      <c r="H5" s="5">
        <v>0.047859778911741646</v>
      </c>
      <c r="I5" s="5">
        <v>0.04023985260782777</v>
      </c>
      <c r="J5" s="5">
        <v>0.03261992630391388</v>
      </c>
      <c r="K5" s="5">
        <v>0.025</v>
      </c>
    </row>
    <row r="6" spans="1:11" x14ac:dyDescent="0.25">
      <c r="A6" t="s">
        <v>50</v>
      </c>
      <c r="B6" s="18">
        <f>Assumptions!B29*(1+B5)</f>
        <v>12983873370</v>
      </c>
      <c r="C6" s="18">
        <f>B6*(1+C5)</f>
        <v>14099959470</v>
      </c>
      <c r="D6" s="18">
        <f>C6*(1+D5)</f>
        <v>15204543021.09701</v>
      </c>
      <c r="E6" s="18">
        <f>D6*(1+E5)</f>
        <v>16279801580.45712</v>
      </c>
      <c r="F6" s="18">
        <f>E6*(1+F5)</f>
        <v>17307051061.395668</v>
      </c>
      <c r="G6" s="18">
        <f>F6*(1+G5)</f>
        <v>18267241152.434196</v>
      </c>
      <c r="H6" s="18">
        <f>G6*(1+H5)</f>
        <v>19141507275.317165</v>
      </c>
      <c r="I6" s="18">
        <f>H6*(1+I5)</f>
        <v>19911758706.767593</v>
      </c>
      <c r="J6" s="18">
        <f>I6*(1+J5)</f>
        <v>20561278808.36367</v>
      </c>
      <c r="K6" s="18">
        <f>J6*(1+K5)</f>
        <v>21075310778.57276</v>
      </c>
    </row>
    <row r="7" spans="1:11" x14ac:dyDescent="0.25">
      <c r="A7" t="s">
        <v>4</v>
      </c>
      <c r="B7" s="9">
        <f>Assumptions!B7</f>
        <v>0.22378316488435496</v>
      </c>
      <c r="C7" s="9">
        <f>Assumptions!B7</f>
        <v>0.22378316488435496</v>
      </c>
      <c r="D7" s="9">
        <f>Assumptions!B7</f>
        <v>0.22378316488435496</v>
      </c>
      <c r="E7" s="9">
        <f>Assumptions!B7</f>
        <v>0.22378316488435496</v>
      </c>
      <c r="F7" s="9">
        <f>Assumptions!B7</f>
        <v>0.22378316488435496</v>
      </c>
      <c r="G7" s="9">
        <f>Assumptions!B7</f>
        <v>0.22378316488435496</v>
      </c>
      <c r="H7" s="9">
        <f>Assumptions!B7</f>
        <v>0.22378316488435496</v>
      </c>
      <c r="I7" s="9">
        <f>Assumptions!B7</f>
        <v>0.22378316488435496</v>
      </c>
      <c r="J7" s="9">
        <f>Assumptions!B7</f>
        <v>0.22378316488435496</v>
      </c>
      <c r="K7" s="9">
        <f>Assumptions!B7</f>
        <v>0.22378316488435496</v>
      </c>
    </row>
    <row r="8" spans="1:11" x14ac:dyDescent="0.25">
      <c r="A8" t="s">
        <v>51</v>
      </c>
      <c r="B8" s="18">
        <f>B6*B7</f>
        <v>2905572275.1962953</v>
      </c>
      <c r="C8" s="18">
        <f>C6*C7</f>
        <v>3155333554.937732</v>
      </c>
      <c r="D8" s="18">
        <f>D6*D7</f>
        <v>3402520757.8814206</v>
      </c>
      <c r="E8" s="18">
        <f>E6*E7</f>
        <v>3643145521.3640184</v>
      </c>
      <c r="F8" s="18">
        <f>F6*F7</f>
        <v>3873026661.334257</v>
      </c>
      <c r="G8" s="18">
        <f>G6*G7</f>
        <v>4087901038.7974563</v>
      </c>
      <c r="H8" s="18">
        <f>H6*H7</f>
        <v>4283547078.727381</v>
      </c>
      <c r="I8" s="18">
        <f>I6*I7</f>
        <v>4455916381.814063</v>
      </c>
      <c r="J8" s="18">
        <f>J6*J7</f>
        <v>4601268045.805241</v>
      </c>
      <c r="K8" s="18">
        <f>K6*K7</f>
        <v>4716299746.950372</v>
      </c>
    </row>
    <row r="9" spans="1:11" x14ac:dyDescent="0.25">
      <c r="A9" t="s">
        <v>52</v>
      </c>
      <c r="B9" s="18">
        <f>B8*(1-Assumptions!B8)</f>
        <v>2295402097.405073</v>
      </c>
      <c r="C9" s="18">
        <f>C8*(1-Assumptions!B8)</f>
        <v>2492713508.4008083</v>
      </c>
      <c r="D9" s="18">
        <f>D8*(1-Assumptions!B8)</f>
        <v>2687991398.726322</v>
      </c>
      <c r="E9" s="18">
        <f>E8*(1-Assumptions!B8)</f>
        <v>2878084961.877575</v>
      </c>
      <c r="F9" s="18">
        <f>F8*(1-Assumptions!B8)</f>
        <v>3059691062.4540634</v>
      </c>
      <c r="G9" s="18">
        <f>G8*(1-Assumptions!B8)</f>
        <v>3229441820.6499906</v>
      </c>
      <c r="H9" s="18">
        <f>H8*(1-Assumptions!B8)</f>
        <v>3384002192.194631</v>
      </c>
      <c r="I9" s="18">
        <f>I8*(1-Assumptions!B8)</f>
        <v>3520173941.63311</v>
      </c>
      <c r="J9" s="18">
        <f>J8*(1-Assumptions!B8)</f>
        <v>3635001756.18614</v>
      </c>
      <c r="K9" s="18">
        <f>K8*(1-Assumptions!B8)</f>
        <v>3725876800.0907936</v>
      </c>
    </row>
    <row r="10" spans="1:11" x14ac:dyDescent="0.25">
      <c r="A10" t="s">
        <v>53</v>
      </c>
      <c r="B10" s="18">
        <f>B6*Assumptions!B9</f>
        <v>196694297.39321667</v>
      </c>
      <c r="C10" s="18">
        <f>C6*Assumptions!B9</f>
        <v>213602023.23233852</v>
      </c>
      <c r="D10" s="18">
        <f>D6*Assumptions!B9</f>
        <v>230335495.54092824</v>
      </c>
      <c r="E10" s="18">
        <f>E6*Assumptions!B9</f>
        <v>246624719.93663564</v>
      </c>
      <c r="F10" s="18">
        <f>F6*Assumptions!B9</f>
        <v>262186648.88825434</v>
      </c>
      <c r="G10" s="18">
        <f>G6*Assumptions!B9</f>
        <v>276732686.88005525</v>
      </c>
      <c r="H10" s="18">
        <f>H6*Assumptions!B9</f>
        <v>289977052.0917869</v>
      </c>
      <c r="I10" s="18">
        <f>I6*Assumptions!B9</f>
        <v>301645685.92761284</v>
      </c>
      <c r="J10" s="18">
        <f>J6*Assumptions!B9</f>
        <v>311485345.97246516</v>
      </c>
      <c r="K10" s="18">
        <f>K6*Assumptions!B9</f>
        <v>319272479.62177676</v>
      </c>
    </row>
    <row r="11" spans="1:11" x14ac:dyDescent="0.25">
      <c r="A11" t="s">
        <v>54</v>
      </c>
      <c r="B11" s="18">
        <f>-B6*B19</f>
        <v>-223471580.13627666</v>
      </c>
      <c r="C11" s="18">
        <f>-C6*C19</f>
        <v>-266435206.64841786</v>
      </c>
      <c r="D11" s="18">
        <f>-D6*D19</f>
        <v>-312922631.69638115</v>
      </c>
      <c r="E11" s="18">
        <f>-E6*E19</f>
        <v>-362478893.73115027</v>
      </c>
      <c r="F11" s="18">
        <f>-F6*F19</f>
        <v>-414508293.04146236</v>
      </c>
      <c r="G11" s="18">
        <f>-G6*G19</f>
        <v>-468279833.75861317</v>
      </c>
      <c r="H11" s="18">
        <f>-H6*H19</f>
        <v>-522939218.2678346</v>
      </c>
      <c r="I11" s="18">
        <f>-I6*I19</f>
        <v>-577527469.8129615</v>
      </c>
      <c r="J11" s="18">
        <f>-J6*J19</f>
        <v>-631005871.5248795</v>
      </c>
      <c r="K11" s="18">
        <f>-K6*K19</f>
        <v>-682286503.976338</v>
      </c>
    </row>
    <row r="12" spans="1:11" x14ac:dyDescent="0.25">
      <c r="A12" t="s">
        <v>55</v>
      </c>
      <c r="B12" s="18">
        <f>-(B6-Assumptions!B29)*Assumptions!B11</f>
        <v>-101200949.57215276</v>
      </c>
      <c r="C12" s="18">
        <f>-(C6-B6)*Assumptions!B11</f>
        <v>-119538741.07414061</v>
      </c>
      <c r="D12" s="18">
        <f>-(D6-C6)*Assumptions!B11</f>
        <v>-118306757.07666299</v>
      </c>
      <c r="E12" s="18">
        <f>-(E6-D6)*Assumptions!B11</f>
        <v>-115165894.92074293</v>
      </c>
      <c r="F12" s="18">
        <f>-(F6-E6)*Assumptions!B11</f>
        <v>-110023867.97977173</v>
      </c>
      <c r="G12" s="18">
        <f>-(G6-F6)*Assumptions!B11</f>
        <v>-102841451.63586406</v>
      </c>
      <c r="H12" s="18">
        <f>-(H6-G6)*Assumptions!B11</f>
        <v>-93638538.90233022</v>
      </c>
      <c r="I12" s="18">
        <f>-(I6-H6)*Assumptions!B11</f>
        <v>-82498013.75193085</v>
      </c>
      <c r="J12" s="18">
        <f>-(J6-I6)*Assumptions!B11</f>
        <v>-69567047.9608544</v>
      </c>
      <c r="K12" s="18">
        <f>-(K6-J6)*Assumptions!B11</f>
        <v>-55055550.454982735</v>
      </c>
    </row>
    <row r="13" spans="1:11" x14ac:dyDescent="0.25">
      <c r="A13" s="19" t="s">
        <v>56</v>
      </c>
      <c r="B13" s="20">
        <f>B9+B10+B11+B12</f>
        <v>2167423865.0898604</v>
      </c>
      <c r="C13" s="20">
        <f>C9+C10+C11+C12</f>
        <v>2320341583.9105883</v>
      </c>
      <c r="D13" s="20">
        <f>D9+D10+D11+D12</f>
        <v>2487097505.4942064</v>
      </c>
      <c r="E13" s="20">
        <f>E9+E10+E11+E12</f>
        <v>2647064893.1623173</v>
      </c>
      <c r="F13" s="20">
        <f>F9+F10+F11+F12</f>
        <v>2797345550.3210835</v>
      </c>
      <c r="G13" s="20">
        <f>G9+G10+G11+G12</f>
        <v>2935053222.1355686</v>
      </c>
      <c r="H13" s="20">
        <f>H9+H10+H11+H12</f>
        <v>3057401487.116253</v>
      </c>
      <c r="I13" s="20">
        <f>I9+I10+I11+I12</f>
        <v>3161794143.9958305</v>
      </c>
      <c r="J13" s="20">
        <f>J9+J10+J11+J12</f>
        <v>3245914182.672871</v>
      </c>
      <c r="K13" s="20">
        <f>K9+K10+K11+K12</f>
        <v>3307807225.2812495</v>
      </c>
    </row>
    <row r="14" spans="1:11" x14ac:dyDescent="0.25">
      <c r="A14" t="s">
        <v>57</v>
      </c>
      <c r="B14" s="21">
        <f>1/(1+Assumptions!$B$26)^(1-0.5*Assumptions!$B$32)</f>
        <v>0.959047702163343</v>
      </c>
      <c r="C14" s="21">
        <f>1/(1+Assumptions!$B$26)^(2-0.5*Assumptions!$B$32)</f>
        <v>0.8821056978665682</v>
      </c>
      <c r="D14" s="21">
        <f>1/(1+Assumptions!$B$26)^(3-0.5*Assumptions!$B$32)</f>
        <v>0.8113365586023156</v>
      </c>
      <c r="E14" s="21">
        <f>1/(1+Assumptions!$B$26)^(4-0.5*Assumptions!$B$32)</f>
        <v>0.7462450508104773</v>
      </c>
      <c r="F14" s="21">
        <f>1/(1+Assumptions!$B$26)^(5-0.5*Assumptions!$B$32)</f>
        <v>0.6863756722838528</v>
      </c>
      <c r="G14" s="21">
        <f>1/(1+Assumptions!$B$26)^(6-0.5*Assumptions!$B$32)</f>
        <v>0.6313094646208357</v>
      </c>
      <c r="H14" s="21">
        <f>1/(1+Assumptions!$B$26)^(7-0.5*Assumptions!$B$32)</f>
        <v>0.5806610814070694</v>
      </c>
      <c r="I14" s="21">
        <f>1/(1+Assumptions!$B$26)^(8-0.5*Assumptions!$B$32)</f>
        <v>0.534076091609572</v>
      </c>
      <c r="J14" s="21">
        <f>1/(1+Assumptions!$B$26)^(9-0.5*Assumptions!$B$32)</f>
        <v>0.4912284993128236</v>
      </c>
      <c r="K14" s="21">
        <f>1/(1+Assumptions!$B$26)^(10-0.5*Assumptions!$B$32)</f>
        <v>0.4518184624402382</v>
      </c>
    </row>
    <row r="15" spans="1:11" x14ac:dyDescent="0.25">
      <c r="A15" s="19" t="s">
        <v>58</v>
      </c>
      <c r="B15" s="20">
        <f>B13*B14</f>
        <v>2078662877.4284222</v>
      </c>
      <c r="C15" s="20">
        <f>C13*C14</f>
        <v>2046786532.1642678</v>
      </c>
      <c r="D15" s="20">
        <f>D13*D14</f>
        <v>2017873131.016073</v>
      </c>
      <c r="E15" s="20">
        <f>E13*E14</f>
        <v>1975359075.6965442</v>
      </c>
      <c r="F15" s="20">
        <f>F13*F14</f>
        <v>1920029932.7118778</v>
      </c>
      <c r="G15" s="20">
        <f>G13*G14</f>
        <v>1852926878.3000646</v>
      </c>
      <c r="H15" s="20">
        <f>H13*H14</f>
        <v>1775314053.8045056</v>
      </c>
      <c r="I15" s="20">
        <f>I13*I14</f>
        <v>1688638658.8993256</v>
      </c>
      <c r="J15" s="20">
        <f>J13*J14</f>
        <v>1594485552.8526049</v>
      </c>
      <c r="K15" s="20">
        <f>K13*K14</f>
        <v>1494528374.5752847</v>
      </c>
    </row>
    <row r="17" spans="1:2" x14ac:dyDescent="0.25">
      <c r="A17" s="22" t="s">
        <v>59</v>
      </c>
      <c r="B17" s="23">
        <f>SUM(B15:K15)</f>
        <v>18444605067.44897</v>
      </c>
    </row>
    <row r="19" spans="1:11" x14ac:dyDescent="0.25">
      <c r="A19" t="s">
        <v>7</v>
      </c>
      <c r="B19" s="9">
        <f>Assumptions!$B$10+($B$20-Assumptions!$B$10)*0/9</f>
        <v>0.017211472552760784</v>
      </c>
      <c r="C19" s="9">
        <f>Assumptions!$B$10+($B$20-Assumptions!$B$10)*1/9</f>
        <v>0.018896168263128905</v>
      </c>
      <c r="D19" s="9">
        <f>Assumptions!$B$10+($B$20-Assumptions!$B$10)*2/9</f>
        <v>0.02058086397349703</v>
      </c>
      <c r="E19" s="9">
        <f>Assumptions!$B$10+($B$20-Assumptions!$B$10)*3/9</f>
        <v>0.022265559683865153</v>
      </c>
      <c r="F19" s="9">
        <f>Assumptions!$B$10+($B$20-Assumptions!$B$10)*4/9</f>
        <v>0.023950255394233278</v>
      </c>
      <c r="G19" s="9">
        <f>Assumptions!$B$10+($B$20-Assumptions!$B$10)*5/9</f>
        <v>0.0256349511046014</v>
      </c>
      <c r="H19" s="9">
        <f>Assumptions!$B$10+($B$20-Assumptions!$B$10)*6/9</f>
        <v>0.027319646814969525</v>
      </c>
      <c r="I19" s="9">
        <f>Assumptions!$B$10+($B$20-Assumptions!$B$10)*7/9</f>
        <v>0.029004342525337647</v>
      </c>
      <c r="J19" s="9">
        <f>Assumptions!$B$10+($B$20-Assumptions!$B$10)*8/9</f>
        <v>0.03068903823570577</v>
      </c>
      <c r="K19" s="9">
        <f>Assumptions!$B$10+($B$20-Assumptions!$B$10)*9/9</f>
        <v>0.032373733946073895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0.032373733946073895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3307807225.2812495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3725876800.0907936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0.09743049591594524</v>
      </c>
    </row>
    <row r="7" spans="1:2" x14ac:dyDescent="0.25">
      <c r="A7" t="s">
        <v>66</v>
      </c>
      <c r="B7" s="18">
        <f>-MAX(B5,0)*B6</f>
        <v>-363014024.3545612</v>
      </c>
    </row>
    <row r="8" spans="1:2" x14ac:dyDescent="0.25">
      <c r="A8" t="s">
        <v>67</v>
      </c>
      <c r="B8" s="18">
        <f>IF(OR(Assumptions!$B$33=0,Assumptions!B12&lt;=0),B5,MAX(B5+B7,0))</f>
        <v>3362862775.7362323</v>
      </c>
    </row>
    <row r="9" spans="1:2" x14ac:dyDescent="0.25">
      <c r="A9" t="s">
        <v>68</v>
      </c>
      <c r="B9" s="18">
        <f>B8*(1+Assumptions!B12)/(Assumptions!B26-Assumptions!B12)</f>
        <v>55394348258.48122</v>
      </c>
    </row>
    <row r="10" spans="1:2" x14ac:dyDescent="0.25">
      <c r="A10" t="s">
        <v>69</v>
      </c>
      <c r="B10" s="18">
        <f>B9/(1+Assumptions!B26)^(10-0.5*Assumptions!B32)</f>
        <v>25028189258.02607</v>
      </c>
    </row>
    <row r="11" spans="1:2" x14ac:dyDescent="0.25">
      <c r="A11" t="s">
        <v>70</v>
      </c>
      <c r="B11" s="18">
        <f>Forecast!B17+B10</f>
        <v>43472794325.47504</v>
      </c>
    </row>
    <row r="12" spans="1:2" x14ac:dyDescent="0.25">
      <c r="A12" t="s">
        <v>71</v>
      </c>
      <c r="B12" s="18">
        <f>-Assumptions!B30</f>
        <v>-12175000000</v>
      </c>
    </row>
    <row r="13" spans="1:2" x14ac:dyDescent="0.25">
      <c r="A13" t="s">
        <v>72</v>
      </c>
      <c r="B13" s="18">
        <f>B11+B12</f>
        <v>31297794325.475037</v>
      </c>
    </row>
    <row r="14" spans="1:2" x14ac:dyDescent="0.25">
      <c r="A14" s="19" t="s">
        <v>73</v>
      </c>
      <c r="B14" s="24">
        <f>B13/Assumptions!B31</f>
        <v>131.50333750199596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5035572226.572148</v>
      </c>
    </row>
    <row r="18" spans="1:2" x14ac:dyDescent="0.25">
      <c r="A18" t="s">
        <v>68</v>
      </c>
      <c r="B18" s="18">
        <f>B17*Assumptions!B13</f>
        <v>100711444531.44296</v>
      </c>
    </row>
    <row r="19" spans="1:2" x14ac:dyDescent="0.25">
      <c r="A19" t="s">
        <v>69</v>
      </c>
      <c r="B19" s="18">
        <f>B18/(1+Assumptions!B26)^(10-0.5*Assumptions!B32)</f>
        <v>45503290018.331894</v>
      </c>
    </row>
    <row r="20" spans="1:2" x14ac:dyDescent="0.25">
      <c r="A20" t="s">
        <v>70</v>
      </c>
      <c r="B20" s="18">
        <f>Forecast!B17+B19</f>
        <v>63947895085.78087</v>
      </c>
    </row>
    <row r="21" spans="1:2" x14ac:dyDescent="0.25">
      <c r="A21" t="s">
        <v>71</v>
      </c>
      <c r="B21" s="18">
        <f>-Assumptions!B30</f>
        <v>-12175000000</v>
      </c>
    </row>
    <row r="22" spans="1:2" x14ac:dyDescent="0.25">
      <c r="A22" t="s">
        <v>72</v>
      </c>
      <c r="B22" s="18">
        <f>B20+B21</f>
        <v>51772895085.78087</v>
      </c>
    </row>
    <row r="23" spans="1:2" x14ac:dyDescent="0.25">
      <c r="A23" s="19" t="s">
        <v>73</v>
      </c>
      <c r="B23" s="25">
        <f>B22/Assumptions!B31</f>
        <v>217.53317262933137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356.92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131.50333750199596</v>
      </c>
    </row>
    <row r="29" spans="1:2" x14ac:dyDescent="0.25">
      <c r="A29" s="19" t="s">
        <v>81</v>
      </c>
      <c r="B29" s="11">
        <f>B28/B26-1</f>
        <v>-0.6315607489017261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0.067225</v>
      </c>
      <c r="B5" s="31">
        <v>189.71211099718363</v>
      </c>
      <c r="C5" s="31">
        <v>202.4636306851383</v>
      </c>
      <c r="D5" s="31">
        <v>218.40586115116875</v>
      </c>
      <c r="E5" s="31">
        <v>238.8245152675691</v>
      </c>
      <c r="F5" s="31">
        <v>265.80326579634203</v>
      </c>
    </row>
    <row r="6" spans="1:6" x14ac:dyDescent="0.25">
      <c r="A6" s="30">
        <v>0.077225</v>
      </c>
      <c r="B6" s="31">
        <v>150.08019675403006</v>
      </c>
      <c r="C6" s="31">
        <v>157.56394892085964</v>
      </c>
      <c r="D6" s="31">
        <v>166.61116573730635</v>
      </c>
      <c r="E6" s="31">
        <v>177.71844793908775</v>
      </c>
      <c r="F6" s="31">
        <v>191.61761271459974</v>
      </c>
    </row>
    <row r="7" spans="1:6" x14ac:dyDescent="0.25">
      <c r="A7" s="30">
        <v>0.087225</v>
      </c>
      <c r="B7" s="31">
        <v>121.49862234793386</v>
      </c>
      <c r="C7" s="31">
        <v>126.0815091915725</v>
      </c>
      <c r="D7" s="32">
        <v>131.50445509410386</v>
      </c>
      <c r="E7" s="31">
        <v>137.98765902247249</v>
      </c>
      <c r="F7" s="31">
        <v>145.83564697739737</v>
      </c>
    </row>
    <row r="8" spans="1:6" x14ac:dyDescent="0.25">
      <c r="A8" s="30">
        <v>0.097225</v>
      </c>
      <c r="B8" s="31">
        <v>99.93066130974844</v>
      </c>
      <c r="C8" s="31">
        <v>102.80019803001372</v>
      </c>
      <c r="D8" s="31">
        <v>106.15147760501478</v>
      </c>
      <c r="E8" s="31">
        <v>110.09199193242428</v>
      </c>
      <c r="F8" s="31">
        <v>114.7637823346387</v>
      </c>
    </row>
    <row r="9" spans="1:6" x14ac:dyDescent="0.25">
      <c r="A9" s="30">
        <v>0.107225</v>
      </c>
      <c r="B9" s="31">
        <v>83.09078910254782</v>
      </c>
      <c r="C9" s="31">
        <v>84.89622425424268</v>
      </c>
      <c r="D9" s="31">
        <v>86.9914844945607</v>
      </c>
      <c r="E9" s="31">
        <v>89.43286475816488</v>
      </c>
      <c r="F9" s="31">
        <v>92.29224874667227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12039000000</v>
      </c>
      <c r="C5" s="18">
        <v>11174000000</v>
      </c>
      <c r="D5" s="18">
        <v>10235000000</v>
      </c>
      <c r="E5" s="18">
        <v>8773000000</v>
      </c>
      <c r="F5" s="6" t="s">
        <v>91</v>
      </c>
    </row>
    <row r="6" spans="1:6" x14ac:dyDescent="0.25">
      <c r="A6" t="s">
        <v>51</v>
      </c>
      <c r="B6" s="18">
        <v>2693000000</v>
      </c>
      <c r="C6" s="18">
        <v>2365000000</v>
      </c>
      <c r="D6" s="18">
        <v>2263000000</v>
      </c>
      <c r="E6" s="18">
        <v>2094000000</v>
      </c>
      <c r="F6" s="6" t="s">
        <v>92</v>
      </c>
    </row>
    <row r="7" spans="1:6" x14ac:dyDescent="0.25">
      <c r="A7" t="s">
        <v>93</v>
      </c>
      <c r="B7" s="18">
        <v>177000000</v>
      </c>
      <c r="C7" s="18">
        <v>146000000</v>
      </c>
      <c r="D7" s="18">
        <v>147000000</v>
      </c>
      <c r="E7" s="18">
        <v>162000000</v>
      </c>
      <c r="F7" s="6" t="s">
        <v>94</v>
      </c>
    </row>
    <row r="8" spans="1:6" x14ac:dyDescent="0.25">
      <c r="A8" t="s">
        <v>95</v>
      </c>
      <c r="B8" s="18">
        <v>185000000</v>
      </c>
      <c r="C8" s="18">
        <v>198000000</v>
      </c>
      <c r="D8" s="18">
        <v>247000000</v>
      </c>
      <c r="E8" s="18">
        <v>102000000</v>
      </c>
      <c r="F8" s="6" t="s">
        <v>96</v>
      </c>
    </row>
    <row r="9" spans="1:6" x14ac:dyDescent="0.25">
      <c r="A9" t="s">
        <v>97</v>
      </c>
      <c r="B9" s="18">
        <v>-525000000</v>
      </c>
      <c r="C9" s="18">
        <v>-504000000</v>
      </c>
      <c r="D9" s="18">
        <v>-880000000</v>
      </c>
      <c r="E9" s="18">
        <v>-179000000</v>
      </c>
      <c r="F9" s="6" t="s">
        <v>98</v>
      </c>
    </row>
    <row r="10" spans="1:6" x14ac:dyDescent="0.25">
      <c r="A10" t="s">
        <v>99</v>
      </c>
      <c r="B10" s="18">
        <v>13093000000</v>
      </c>
      <c r="C10" s="18">
        <v>11886000000</v>
      </c>
      <c r="D10" s="18">
        <v>10120000000</v>
      </c>
      <c r="E10" s="18">
        <v>9691000000</v>
      </c>
      <c r="F10" s="6" t="s">
        <v>100</v>
      </c>
    </row>
    <row r="11" spans="1:6" x14ac:dyDescent="0.25">
      <c r="A11" t="s">
        <v>101</v>
      </c>
      <c r="B11" s="18">
        <v>918000000</v>
      </c>
      <c r="C11" s="18">
        <v>1301000000</v>
      </c>
      <c r="D11" s="18">
        <v>800000000</v>
      </c>
      <c r="E11" s="18">
        <v>1209000000</v>
      </c>
      <c r="F11" s="6" t="s">
        <v>102</v>
      </c>
    </row>
    <row r="12" spans="1:6" x14ac:dyDescent="0.25">
      <c r="A12" t="s">
        <v>34</v>
      </c>
      <c r="B12" s="34">
        <v>238000000</v>
      </c>
      <c r="C12" s="34">
        <v>250000000</v>
      </c>
      <c r="D12" s="34">
        <v>264000000</v>
      </c>
      <c r="E12" s="34">
        <v>277000000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