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<sst xmlns="http://schemas.openxmlformats.org/spreadsheetml/2006/main" count="112" uniqueCount="100">
  <si>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Hilton Worldwide Holdings Inc. (HLT)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</si>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</sst>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0.11125593900582187</v>
      </c>
    </row>
    <row r="7" spans="1:2" x14ac:dyDescent="0.25">
      <c r="A7" t="s">
        <v>5</v>
      </c>
      <c r="B7" s="6">
        <v>0.22378316488435496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0.015149123207539158</v>
      </c>
    </row>
    <row r="10" spans="1:2" x14ac:dyDescent="0.25">
      <c r="A10" t="s">
        <v>8</v>
      </c>
      <c r="B10" s="6">
        <v>0.017211472552760784</v>
      </c>
    </row>
    <row r="11" spans="1:2" x14ac:dyDescent="0.25">
      <c r="A11" t="s">
        <v>9</v>
      </c>
      <c r="B11" s="6">
        <v>-0.6019151846785226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0.2565931720348409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1.03752</v>
      </c>
      <c r="C19" s="8" t="s">
        <v>19</v>
      </c>
    </row>
    <row r="20" spans="1:2" x14ac:dyDescent="0.25">
      <c r="A20" t="s">
        <v>20</v>
      </c>
      <c r="B20" s="10">
        <f>B17+B19*B18</f>
        <v>0.1070436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68809097216</v>
      </c>
    </row>
    <row r="23" spans="1:2" x14ac:dyDescent="0.25">
      <c r="A23" t="s">
        <v>24</v>
      </c>
      <c r="B23" s="11">
        <v>13093000000</v>
      </c>
    </row>
    <row r="24" spans="1:2" x14ac:dyDescent="0.25">
      <c r="A24" t="s">
        <v>25</v>
      </c>
      <c r="B24" s="10">
        <f>B22/(B22+B23)</f>
        <v>0.8401384037154763</v>
      </c>
    </row>
    <row r="25" spans="1:2" x14ac:dyDescent="0.25">
      <c r="A25" t="s">
        <v>26</v>
      </c>
      <c r="B25" s="10">
        <f>1-B24</f>
        <v>0.15986159628452368</v>
      </c>
    </row>
    <row r="26" spans="1:2" x14ac:dyDescent="0.25">
      <c r="A26" t="s">
        <v>27</v>
      </c>
      <c r="B26" s="12">
        <f>B24*B20+B25*B21*(1-B8)</f>
        <v>0.09624344647197536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12039000000</v>
      </c>
      <c r="C29" s="8" t="s">
        <v>30</v>
      </c>
    </row>
    <row r="30" spans="1:2" x14ac:dyDescent="0.25">
      <c r="A30" t="s">
        <v>31</v>
      </c>
      <c r="B30" s="11">
        <v>12175000000</v>
      </c>
    </row>
    <row r="31" spans="1:2" x14ac:dyDescent="0.25">
      <c r="A31" t="s">
        <v>32</v>
      </c>
      <c r="B31" s="13">
        <v>238000000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0.11125593900582187</v>
      </c>
      <c r="C5" s="10">
        <f>Assumptions!B6</f>
        <v>0.11125593900582187</v>
      </c>
      <c r="D5" s="10">
        <f>Assumptions!B6</f>
        <v>0.11125593900582187</v>
      </c>
      <c r="E5" s="10">
        <f>Assumptions!B6</f>
        <v>0.11125593900582187</v>
      </c>
      <c r="F5" s="10">
        <f>Assumptions!B6</f>
        <v>0.11125593900582187</v>
      </c>
    </row>
    <row r="6" spans="1:6" x14ac:dyDescent="0.25">
      <c r="A6" t="s">
        <v>43</v>
      </c>
      <c r="B6" s="18">
        <f>Assumptions!B29*(1+B5)</f>
        <v>13378410249.69109</v>
      </c>
      <c r="C6" s="18">
        <f>B6*(1+C5)</f>
        <v>14866837844.425583</v>
      </c>
      <c r="D6" s="18">
        <f>C6*(1+D5)</f>
        <v>16520861848.85444</v>
      </c>
      <c r="E6" s="18">
        <f>D6*(1+E5)</f>
        <v>18358905847.0342</v>
      </c>
      <c r="F6" s="18">
        <f>E6*(1+F5)</f>
        <v>20401443156.165462</v>
      </c>
    </row>
    <row r="7" spans="1:6" x14ac:dyDescent="0.25">
      <c r="A7" t="s">
        <v>5</v>
      </c>
      <c r="B7" s="10">
        <f>Assumptions!B7</f>
        <v>0.22378316488435496</v>
      </c>
      <c r="C7" s="10">
        <f>Assumptions!B7</f>
        <v>0.22378316488435496</v>
      </c>
      <c r="D7" s="10">
        <f>Assumptions!B7</f>
        <v>0.22378316488435496</v>
      </c>
      <c r="E7" s="10">
        <f>Assumptions!B7</f>
        <v>0.22378316488435496</v>
      </c>
      <c r="F7" s="10">
        <f>Assumptions!B7</f>
        <v>0.22378316488435496</v>
      </c>
    </row>
    <row r="8" spans="1:6" x14ac:dyDescent="0.25">
      <c r="A8" t="s">
        <v>44</v>
      </c>
      <c r="B8" s="18">
        <f>B6*B7</f>
        <v>2993862986.7971654</v>
      </c>
      <c r="C8" s="18">
        <f>C6*C7</f>
        <v>3326948024.6480584</v>
      </c>
      <c r="D8" s="18">
        <f>D6*D7</f>
        <v>3697090751.1538424</v>
      </c>
      <c r="E8" s="18">
        <f>E6*E7</f>
        <v>4108414054.263202</v>
      </c>
      <c r="F8" s="18">
        <f>F6*F7</f>
        <v>4565499517.694971</v>
      </c>
    </row>
    <row r="9" spans="1:6" x14ac:dyDescent="0.25">
      <c r="A9" t="s">
        <v>45</v>
      </c>
      <c r="B9" s="18">
        <f>B8*(1-Assumptions!B8)</f>
        <v>2365151759.569761</v>
      </c>
      <c r="C9" s="18">
        <f>C8*(1-Assumptions!B8)</f>
        <v>2628288939.4719663</v>
      </c>
      <c r="D9" s="18">
        <f>D8*(1-Assumptions!B8)</f>
        <v>2920701693.4115357</v>
      </c>
      <c r="E9" s="18">
        <f>E8*(1-Assumptions!B8)</f>
        <v>3245647102.86793</v>
      </c>
      <c r="F9" s="18">
        <f>F8*(1-Assumptions!B8)</f>
        <v>3606744618.9790273</v>
      </c>
    </row>
    <row r="10" spans="1:6" x14ac:dyDescent="0.25">
      <c r="A10" t="s">
        <v>46</v>
      </c>
      <c r="B10" s="18">
        <f>B6*Assumptions!B9</f>
        <v>202671185.19357502</v>
      </c>
      <c r="C10" s="18">
        <f>C6*Assumptions!B9</f>
        <v>225219558.21170902</v>
      </c>
      <c r="D10" s="18">
        <f>D6*Assumptions!B9</f>
        <v>250276571.6430291</v>
      </c>
      <c r="E10" s="18">
        <f>E6*Assumptions!B9</f>
        <v>278121326.63233215</v>
      </c>
      <c r="F10" s="18">
        <f>F6*Assumptions!B9</f>
        <v>309063975.9843571</v>
      </c>
    </row>
    <row r="11" spans="1:6" x14ac:dyDescent="0.25">
      <c r="A11" t="s">
        <v>47</v>
      </c>
      <c r="B11" s="18">
        <f>-B6*Assumptions!B10</f>
        <v>-230262140.81213173</v>
      </c>
      <c r="C11" s="18">
        <f>-C6*Assumptions!B10</f>
        <v>-255880171.5056762</v>
      </c>
      <c r="D11" s="18">
        <f>-D6*Assumptions!B10</f>
        <v>-284348360.259511</v>
      </c>
      <c r="E11" s="18">
        <f>-E6*Assumptions!B10</f>
        <v>-315983804.0849486</v>
      </c>
      <c r="F11" s="18">
        <f>-F6*Assumptions!B10</f>
        <v>-351138878.9190512</v>
      </c>
    </row>
    <row r="12" spans="1:6" x14ac:dyDescent="0.25">
      <c r="A12" t="s">
        <v>48</v>
      </c>
      <c r="B12" s="18">
        <f>-(B6-Assumptions!B29)*Assumptions!B11</f>
        <v>806211367.8031182</v>
      </c>
      <c r="C12" s="18">
        <f>-(C6-B6)*Assumptions!B11</f>
        <v>895907170.5652217</v>
      </c>
      <c r="D12" s="18">
        <f>-(D6-C6)*Assumptions!B11</f>
        <v>995582164.0885054</v>
      </c>
      <c r="E12" s="18">
        <f>-(E6-D6)*Assumptions!B11</f>
        <v>1106346592.611619</v>
      </c>
      <c r="F12" s="18">
        <f>-(F6-E6)*Assumptions!B11</f>
        <v>1229434221.6385171</v>
      </c>
    </row>
    <row r="13" spans="1:6" x14ac:dyDescent="0.25">
      <c r="A13" s="19" t="s">
        <v>49</v>
      </c>
      <c r="B13" s="20">
        <f>B9+B10+B11+B12</f>
        <v>3143772171.754322</v>
      </c>
      <c r="C13" s="20">
        <f>C9+C10+C11+C12</f>
        <v>3493535496.743221</v>
      </c>
      <c r="D13" s="20">
        <f>D9+D10+D11+D12</f>
        <v>3882212068.883559</v>
      </c>
      <c r="E13" s="20">
        <f>E9+E10+E11+E12</f>
        <v>4314131218.026933</v>
      </c>
      <c r="F13" s="20">
        <f>F9+F10+F11+F12</f>
        <v>4794103937.682851</v>
      </c>
    </row>
    <row r="14" spans="1:6" x14ac:dyDescent="0.25">
      <c r="A14" t="s">
        <v>50</v>
      </c>
      <c r="B14" s="21">
        <f>1/(1+Assumptions!$B$26)^(1-0.5*Assumptions!$B$32)</f>
        <v>0.9550948316475678</v>
      </c>
      <c r="C14" s="21">
        <f>1/(1+Assumptions!$B$26)^(2-0.5*Assumptions!$B$32)</f>
        <v>0.8712433672660357</v>
      </c>
      <c r="D14" s="21">
        <f>1/(1+Assumptions!$B$26)^(3-0.5*Assumptions!$B$32)</f>
        <v>0.7947535468238792</v>
      </c>
      <c r="E14" s="21">
        <f>1/(1+Assumptions!$B$26)^(4-0.5*Assumptions!$B$32)</f>
        <v>0.7249790631648684</v>
      </c>
      <c r="F14" s="21">
        <f>1/(1+Assumptions!$B$26)^(5-0.5*Assumptions!$B$32)</f>
        <v>0.661330350934419</v>
      </c>
    </row>
    <row r="15" spans="1:6" x14ac:dyDescent="0.25">
      <c r="A15" s="19" t="s">
        <v>51</v>
      </c>
      <c r="B15" s="20">
        <f>B13*B14</f>
        <v>3002600553.1200027</v>
      </c>
      <c r="C15" s="20">
        <f>C13*C14</f>
        <v>3043719629.8459864</v>
      </c>
      <c r="D15" s="20">
        <f>D13*D14</f>
        <v>3085401811.2676787</v>
      </c>
      <c r="E15" s="20">
        <f>E13*E14</f>
        <v>3127654808.8154783</v>
      </c>
      <c r="F15" s="20">
        <f>F13*F14</f>
        <v>3170486439.52388</v>
      </c>
    </row>
    <row r="17" spans="1:2" x14ac:dyDescent="0.25">
      <c r="A17" s="22" t="s">
        <v>52</v>
      </c>
      <c r="B17" s="23">
        <f>SUM(B15:F15)</f>
        <v>15429863242.573025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4794103937.682851</v>
      </c>
    </row>
    <row r="5" spans="1:2" x14ac:dyDescent="0.25">
      <c r="A5" t="s">
        <v>56</v>
      </c>
      <c r="B5" s="18">
        <f>IF(Assumptions!$B$33=0,B4,B4-Forecast!F11-Forecast!F10-Forecast!F12)</f>
        <v>3606744618.9790273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0.09743049591594524</v>
      </c>
    </row>
    <row r="7" spans="1:2" x14ac:dyDescent="0.25">
      <c r="A7" t="s">
        <v>58</v>
      </c>
      <c r="B7" s="18">
        <f>-MAX(Forecast!F9,0)*B6</f>
        <v>-351406916.8692936</v>
      </c>
    </row>
    <row r="8" spans="1:2" x14ac:dyDescent="0.25">
      <c r="A8" t="s">
        <v>59</v>
      </c>
      <c r="B8" s="18">
        <f>IF(OR(Assumptions!$B$33=0,Assumptions!B12&lt;=0),B5,MAX(B5+B7,0))</f>
        <v>3255337702.1097336</v>
      </c>
    </row>
    <row r="9" spans="1:2" x14ac:dyDescent="0.25">
      <c r="A9" t="s">
        <v>60</v>
      </c>
      <c r="B9" s="18">
        <f>B8*(1+Assumptions!B12)/(Assumptions!B26-Assumptions!B12)</f>
        <v>46835481856.91752</v>
      </c>
    </row>
    <row r="10" spans="1:2" x14ac:dyDescent="0.25">
      <c r="A10" t="s">
        <v>61</v>
      </c>
      <c r="B10" s="18">
        <f>B9/(1+Assumptions!B26)^(5-0.5*Assumptions!B32)</f>
        <v>30973725652.617878</v>
      </c>
    </row>
    <row r="11" spans="1:2" x14ac:dyDescent="0.25">
      <c r="A11" t="s">
        <v>62</v>
      </c>
      <c r="B11" s="18">
        <f>Forecast!B17+B10</f>
        <v>46403588895.1909</v>
      </c>
    </row>
    <row r="12" spans="1:2" x14ac:dyDescent="0.25">
      <c r="A12" t="s">
        <v>63</v>
      </c>
      <c r="B12" s="18">
        <f>-Assumptions!B30</f>
        <v>-12175000000</v>
      </c>
    </row>
    <row r="13" spans="1:2" x14ac:dyDescent="0.25">
      <c r="A13" t="s">
        <v>64</v>
      </c>
      <c r="B13" s="18">
        <f>B11+B12</f>
        <v>34228588895.190903</v>
      </c>
    </row>
    <row r="14" spans="1:2" x14ac:dyDescent="0.25">
      <c r="A14" s="19" t="s">
        <v>65</v>
      </c>
      <c r="B14" s="24">
        <f>B13/Assumptions!B31</f>
        <v>143.81760039996178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4874563493.679328</v>
      </c>
    </row>
    <row r="18" spans="1:2" x14ac:dyDescent="0.25">
      <c r="A18" t="s">
        <v>60</v>
      </c>
      <c r="B18" s="18">
        <f>B17*Assumptions!B13</f>
        <v>97491269873.58656</v>
      </c>
    </row>
    <row r="19" spans="1:2" x14ac:dyDescent="0.25">
      <c r="A19" t="s">
        <v>61</v>
      </c>
      <c r="B19" s="18">
        <f>B18/(1+Assumptions!B26)^(5-0.5*Assumptions!B32)</f>
        <v>64473935718.54116</v>
      </c>
    </row>
    <row r="20" spans="1:2" x14ac:dyDescent="0.25">
      <c r="A20" t="s">
        <v>62</v>
      </c>
      <c r="B20" s="18">
        <f>Forecast!B17+B19</f>
        <v>79903798961.11418</v>
      </c>
    </row>
    <row r="21" spans="1:2" x14ac:dyDescent="0.25">
      <c r="A21" t="s">
        <v>63</v>
      </c>
      <c r="B21" s="18">
        <f>-Assumptions!B30</f>
        <v>-12175000000</v>
      </c>
    </row>
    <row r="22" spans="1:2" x14ac:dyDescent="0.25">
      <c r="A22" t="s">
        <v>64</v>
      </c>
      <c r="B22" s="18">
        <f>B20+B21</f>
        <v>67728798961.11418</v>
      </c>
    </row>
    <row r="23" spans="1:2" x14ac:dyDescent="0.25">
      <c r="A23" s="19" t="s">
        <v>65</v>
      </c>
      <c r="B23" s="25">
        <f>B22/Assumptions!B31</f>
        <v>284.57478555089995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305.73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143.81760039996178</v>
      </c>
    </row>
    <row r="29" spans="1:2" x14ac:dyDescent="0.25">
      <c r="A29" s="19" t="s">
        <v>73</v>
      </c>
      <c r="B29" s="12">
        <f>B28/B26-1</f>
        <v>-0.5295927766331019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0.076243</v>
      </c>
      <c r="B5" s="31">
        <v>186.6861206025988</v>
      </c>
      <c r="C5" s="31">
        <v>198.8538107860258</v>
      </c>
      <c r="D5" s="31">
        <v>213.35460569929927</v>
      </c>
      <c r="E5" s="31">
        <v>230.94530249977723</v>
      </c>
      <c r="F5" s="31">
        <v>252.74969257770928</v>
      </c>
    </row>
    <row r="6" spans="1:6" x14ac:dyDescent="0.25">
      <c r="A6" s="30">
        <v>0.086243</v>
      </c>
      <c r="B6" s="31">
        <v>155.2979889913697</v>
      </c>
      <c r="C6" s="31">
        <v>163.4810676865707</v>
      </c>
      <c r="D6" s="31">
        <v>172.9670815452977</v>
      </c>
      <c r="E6" s="31">
        <v>184.10352318801733</v>
      </c>
      <c r="F6" s="31">
        <v>197.3735106359203</v>
      </c>
    </row>
    <row r="7" spans="1:6" x14ac:dyDescent="0.25">
      <c r="A7" s="30">
        <v>0.096243</v>
      </c>
      <c r="B7" s="31">
        <v>131.56606288272081</v>
      </c>
      <c r="C7" s="31">
        <v>137.3034358233716</v>
      </c>
      <c r="D7" s="32">
        <v>143.81872122928937</v>
      </c>
      <c r="E7" s="31">
        <v>151.2880688367333</v>
      </c>
      <c r="F7" s="31">
        <v>159.9451532374589</v>
      </c>
    </row>
    <row r="8" spans="1:6" x14ac:dyDescent="0.25">
      <c r="A8" s="30">
        <v>0.106243</v>
      </c>
      <c r="B8" s="31">
        <v>112.97703427093752</v>
      </c>
      <c r="C8" s="31">
        <v>117.1269851920208</v>
      </c>
      <c r="D8" s="31">
        <v>121.76466787186439</v>
      </c>
      <c r="E8" s="31">
        <v>126.98603835077911</v>
      </c>
      <c r="F8" s="31">
        <v>132.91399034444302</v>
      </c>
    </row>
    <row r="9" spans="1:6" x14ac:dyDescent="0.25">
      <c r="A9" s="30">
        <v>0.116243</v>
      </c>
      <c r="B9" s="31">
        <v>98.01032170970106</v>
      </c>
      <c r="C9" s="31">
        <v>101.08493980200709</v>
      </c>
      <c r="D9" s="31">
        <v>104.47679717785894</v>
      </c>
      <c r="E9" s="31">
        <v>108.24107036466415</v>
      </c>
      <c r="F9" s="31">
        <v>112.44651897450359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12039000000</v>
      </c>
      <c r="C5" s="18">
        <v>11174000000</v>
      </c>
      <c r="D5" s="18">
        <v>10235000000</v>
      </c>
      <c r="E5" s="18">
        <v>8773000000</v>
      </c>
      <c r="F5" s="8" t="s">
        <v>84</v>
      </c>
    </row>
    <row r="6" spans="1:6" x14ac:dyDescent="0.25">
      <c r="A6" t="s">
        <v>44</v>
      </c>
      <c r="B6" s="18">
        <v>2693000000</v>
      </c>
      <c r="C6" s="18">
        <v>2365000000</v>
      </c>
      <c r="D6" s="18">
        <v>2263000000</v>
      </c>
      <c r="E6" s="18">
        <v>2094000000</v>
      </c>
      <c r="F6" s="8" t="s">
        <v>85</v>
      </c>
    </row>
    <row r="7" spans="1:6" x14ac:dyDescent="0.25">
      <c r="A7" t="s">
        <v>86</v>
      </c>
      <c r="B7" s="18">
        <v>177000000</v>
      </c>
      <c r="C7" s="18">
        <v>146000000</v>
      </c>
      <c r="D7" s="18">
        <v>147000000</v>
      </c>
      <c r="E7" s="18">
        <v>162000000</v>
      </c>
      <c r="F7" s="8" t="s">
        <v>87</v>
      </c>
    </row>
    <row r="8" spans="1:6" x14ac:dyDescent="0.25">
      <c r="A8" t="s">
        <v>88</v>
      </c>
      <c r="B8" s="18">
        <v>185000000</v>
      </c>
      <c r="C8" s="18">
        <v>198000000</v>
      </c>
      <c r="D8" s="18">
        <v>247000000</v>
      </c>
      <c r="E8" s="18">
        <v>102000000</v>
      </c>
      <c r="F8" s="8" t="s">
        <v>89</v>
      </c>
    </row>
    <row r="9" spans="1:6" x14ac:dyDescent="0.25">
      <c r="A9" t="s">
        <v>90</v>
      </c>
      <c r="B9" s="18">
        <v>-525000000</v>
      </c>
      <c r="C9" s="18">
        <v>-504000000</v>
      </c>
      <c r="D9" s="18">
        <v>-880000000</v>
      </c>
      <c r="E9" s="18">
        <v>-179000000</v>
      </c>
      <c r="F9" s="8" t="s">
        <v>91</v>
      </c>
    </row>
    <row r="10" spans="1:6" x14ac:dyDescent="0.25">
      <c r="A10" t="s">
        <v>92</v>
      </c>
      <c r="B10" s="18">
        <v>13093000000</v>
      </c>
      <c r="C10" s="18">
        <v>11886000000</v>
      </c>
      <c r="D10" s="18">
        <v>10120000000</v>
      </c>
      <c r="E10" s="18">
        <v>9691000000</v>
      </c>
      <c r="F10" s="8" t="s">
        <v>93</v>
      </c>
    </row>
    <row r="11" spans="1:6" x14ac:dyDescent="0.25">
      <c r="A11" t="s">
        <v>94</v>
      </c>
      <c r="B11" s="18">
        <v>918000000</v>
      </c>
      <c r="C11" s="18">
        <v>1301000000</v>
      </c>
      <c r="D11" s="18">
        <v>800000000</v>
      </c>
      <c r="E11" s="18">
        <v>1209000000</v>
      </c>
      <c r="F11" s="8" t="s">
        <v>95</v>
      </c>
    </row>
    <row r="12" spans="1:6" x14ac:dyDescent="0.25">
      <c r="A12" t="s">
        <v>32</v>
      </c>
      <c r="B12" s="34">
        <v>238000000</v>
      </c>
      <c r="C12" s="34">
        <v>250000000</v>
      </c>
      <c r="D12" s="34">
        <v>264000000</v>
      </c>
      <c r="E12" s="34">
        <v>277000000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