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<sst xmlns="http://schemas.openxmlformats.org/spreadsheetml/2006/main" count="113" uniqueCount="101">
  <si>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 &amp; M Hennes &amp; Mauritz AB (publ) (HM-B.ST)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</si>
  <si>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</si>
  <si>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</si>
  <si>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</si>
  <si>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</si>
  <si>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</si>
  <si>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</si>
  <si>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</si>
  <si>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</si>
  <si>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</si>
  <si>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</si>
  <si>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</si>
  <si>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</si>
  <si>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</si>
  <si>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</si>
  <si>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</si>
  <si>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</si>
  <si>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</si>
  <si>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</si>
  <si>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</si>
  <si>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</si>
  <si>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</si>
  <si>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</si>
  <si>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</si>
  <si>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</si>
  <si>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</si>
  <si>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</si>
  <si>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</si>
  <si>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</si>
  <si>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</si>
  <si>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2025-11-30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</si>
  <si>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</si>
  <si>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</si>
  <si>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</si>
  <si>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</si>
  <si>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</si>
  <si>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</si>
  <si>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</si>
  <si>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</si>
  <si>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</si>
  <si>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</si>
  <si>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</si>
  <si>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</si>
  <si>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</si>
  <si>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</si>
  <si>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</si>
  <si>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</si>
  <si>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</si>
  <si>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</si>
  <si>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</si>
  <si>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</si>
  <si>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</si>
  <si>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</si>
  <si>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</si>
  <si>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</si>
  <si>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</si>
  <si>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</si>
  <si>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</si>
  <si>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</si>
  <si>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</si>
  <si>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</si>
  <si>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</si>
  <si>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</si>
  <si>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</si>
  <si>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</si>
  <si>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</si>
  <si>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</si>
  <si>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</si>
  <si>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</si>
  <si>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</si>
  <si>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</si>
  <si>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</si>
  <si>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</si>
  <si>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</si>
  <si>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</si>
  <si>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</si>
  <si>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</si>
  <si>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</si>
  <si>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</si>
  <si>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</si>
  <si>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</si>
  <si>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</si>
  <si>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</si>
  <si>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</si>
  <si>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</si>
  <si>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</si>
  <si>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</si>
  <si>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</si>
  <si>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</si>
  <si>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</si>
  <si>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</si>
  <si>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</si>
  <si>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</si>
  <si>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</si>
  <si>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</si>
  <si>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</si>
  <si>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</si>
  <si>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</si>
  <si>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4.01% of revenue against depreciation of 9.64%. A business cannot depreciate more than it invests indefinitely. Capex has been set to 9.64%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</si>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</sst>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0.007006540398649452</v>
      </c>
    </row>
    <row r="7" spans="1:2" x14ac:dyDescent="0.25">
      <c r="A7" t="s">
        <v>5</v>
      </c>
      <c r="B7" s="6">
        <v>0.0615128792736615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0.09643922217390079</v>
      </c>
    </row>
    <row r="10" spans="1:2" x14ac:dyDescent="0.25">
      <c r="A10" t="s">
        <v>8</v>
      </c>
      <c r="B10" s="6">
        <v>0.09643922217390079</v>
      </c>
    </row>
    <row r="11" spans="1:2" x14ac:dyDescent="0.25">
      <c r="A11" t="s">
        <v>9</v>
      </c>
      <c r="B11" s="6">
        <v>-0.42483449055385114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7.9671685227255535</v>
      </c>
    </row>
    <row r="14" spans="1:3" x14ac:dyDescent="0.25">
      <c r="A14" t="s">
        <v>12</v>
      </c>
      <c r="B14" s="6">
        <v>0.18704287669413927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1.00603</v>
      </c>
      <c r="C19" s="8" t="s">
        <v>19</v>
      </c>
    </row>
    <row r="20" spans="1:2" x14ac:dyDescent="0.25">
      <c r="A20" t="s">
        <v>20</v>
      </c>
      <c r="B20" s="10">
        <f>B17+B19*B18</f>
        <v>0.10739195000000001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259410608128</v>
      </c>
    </row>
    <row r="23" spans="1:2" x14ac:dyDescent="0.25">
      <c r="A23" t="s">
        <v>24</v>
      </c>
      <c r="B23" s="11">
        <v>77547000000</v>
      </c>
    </row>
    <row r="24" spans="1:2" x14ac:dyDescent="0.25">
      <c r="A24" t="s">
        <v>25</v>
      </c>
      <c r="B24" s="10">
        <f>B22/(B22+B23)</f>
        <v>0.7698612581243685</v>
      </c>
    </row>
    <row r="25" spans="1:2" x14ac:dyDescent="0.25">
      <c r="A25" t="s">
        <v>26</v>
      </c>
      <c r="B25" s="10">
        <f>1-B24</f>
        <v>0.23013874187563155</v>
      </c>
    </row>
    <row r="26" spans="1:2" x14ac:dyDescent="0.25">
      <c r="A26" t="s">
        <v>27</v>
      </c>
      <c r="B26" s="12">
        <f>B24*B20+B25*B21*(1-B8)</f>
        <v>0.08992627210851167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228285000000</v>
      </c>
      <c r="C29" s="8" t="s">
        <v>30</v>
      </c>
    </row>
    <row r="30" spans="1:2" x14ac:dyDescent="0.25">
      <c r="A30" t="s">
        <v>31</v>
      </c>
      <c r="B30" s="11">
        <v>56639000000</v>
      </c>
    </row>
    <row r="31" spans="1:2" x14ac:dyDescent="0.25">
      <c r="A31" t="s">
        <v>32</v>
      </c>
      <c r="B31" s="13">
        <v>1604033000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0.007006540398649452</v>
      </c>
      <c r="C5" s="10">
        <f>Assumptions!B6</f>
        <v>0.007006540398649452</v>
      </c>
      <c r="D5" s="10">
        <f>Assumptions!B6</f>
        <v>0.007006540398649452</v>
      </c>
      <c r="E5" s="10">
        <f>Assumptions!B6</f>
        <v>0.007006540398649452</v>
      </c>
      <c r="F5" s="10">
        <f>Assumptions!B6</f>
        <v>0.007006540398649452</v>
      </c>
    </row>
    <row r="6" spans="1:6" x14ac:dyDescent="0.25">
      <c r="A6" t="s">
        <v>43</v>
      </c>
      <c r="B6" s="18">
        <f>Assumptions!B29*(1+B5)</f>
        <v>229884488074.9057</v>
      </c>
      <c r="C6" s="18">
        <f>B6*(1+C5)</f>
        <v>231495183027.62537</v>
      </c>
      <c r="D6" s="18">
        <f>C6*(1+D5)</f>
        <v>233117163379.60117</v>
      </c>
      <c r="E6" s="18">
        <f>D6*(1+E5)</f>
        <v>234750508202.4389</v>
      </c>
      <c r="F6" s="18">
        <f>E6*(1+F5)</f>
        <v>236395297121.7628</v>
      </c>
    </row>
    <row r="7" spans="1:6" x14ac:dyDescent="0.25">
      <c r="A7" t="s">
        <v>5</v>
      </c>
      <c r="B7" s="10">
        <f>Assumptions!B7</f>
        <v>0.0615128792736615</v>
      </c>
      <c r="C7" s="10">
        <f>Assumptions!B7</f>
        <v>0.0615128792736615</v>
      </c>
      <c r="D7" s="10">
        <f>Assumptions!B7</f>
        <v>0.0615128792736615</v>
      </c>
      <c r="E7" s="10">
        <f>Assumptions!B7</f>
        <v>0.0615128792736615</v>
      </c>
      <c r="F7" s="10">
        <f>Assumptions!B7</f>
        <v>0.0615128792736615</v>
      </c>
    </row>
    <row r="8" spans="1:6" x14ac:dyDescent="0.25">
      <c r="A8" t="s">
        <v>44</v>
      </c>
      <c r="B8" s="18">
        <f>B6*B7</f>
        <v>14140856761.839151</v>
      </c>
      <c r="C8" s="18">
        <f>C6*C7</f>
        <v>14239935246.012493</v>
      </c>
      <c r="D8" s="18">
        <f>D6*D7</f>
        <v>14339707927.587831</v>
      </c>
      <c r="E8" s="18">
        <f>E6*E7</f>
        <v>14440179670.487309</v>
      </c>
      <c r="F8" s="18">
        <f>F6*F7</f>
        <v>14541355372.712336</v>
      </c>
    </row>
    <row r="9" spans="1:6" x14ac:dyDescent="0.25">
      <c r="A9" t="s">
        <v>45</v>
      </c>
      <c r="B9" s="18">
        <f>B8*(1-Assumptions!B8)</f>
        <v>10605642571.379364</v>
      </c>
      <c r="C9" s="18">
        <f>C8*(1-Assumptions!B8)</f>
        <v>10679951434.509369</v>
      </c>
      <c r="D9" s="18">
        <f>D8*(1-Assumptions!B8)</f>
        <v>10754780945.690874</v>
      </c>
      <c r="E9" s="18">
        <f>E8*(1-Assumptions!B8)</f>
        <v>10830134752.865482</v>
      </c>
      <c r="F9" s="18">
        <f>F8*(1-Assumptions!B8)</f>
        <v>10906016529.534252</v>
      </c>
    </row>
    <row r="10" spans="1:6" x14ac:dyDescent="0.25">
      <c r="A10" t="s">
        <v>46</v>
      </c>
      <c r="B10" s="18">
        <f>B6*Assumptions!B9</f>
        <v>22169881219.789276</v>
      </c>
      <c r="C10" s="18">
        <f>C6*Assumptions!B9</f>
        <v>22325215388.188988</v>
      </c>
      <c r="D10" s="18">
        <f>D6*Assumptions!B9</f>
        <v>22481637911.714886</v>
      </c>
      <c r="E10" s="18">
        <f>E6*Assumptions!B9</f>
        <v>22639156415.971127</v>
      </c>
      <c r="F10" s="18">
        <f>F6*Assumptions!B9</f>
        <v>22797778579.99097</v>
      </c>
    </row>
    <row r="11" spans="1:6" x14ac:dyDescent="0.25">
      <c r="A11" t="s">
        <v>47</v>
      </c>
      <c r="B11" s="18">
        <f>-B6*Assumptions!B10</f>
        <v>-22169881219.789276</v>
      </c>
      <c r="C11" s="18">
        <f>-C6*Assumptions!B10</f>
        <v>-22325215388.188988</v>
      </c>
      <c r="D11" s="18">
        <f>-D6*Assumptions!B10</f>
        <v>-22481637911.714886</v>
      </c>
      <c r="E11" s="18">
        <f>-E6*Assumptions!B10</f>
        <v>-22639156415.971127</v>
      </c>
      <c r="F11" s="18">
        <f>-F6*Assumptions!B10</f>
        <v>-22797778579.99097</v>
      </c>
    </row>
    <row r="12" spans="1:6" x14ac:dyDescent="0.25">
      <c r="A12" t="s">
        <v>48</v>
      </c>
      <c r="B12" s="18">
        <f>-(B6-Assumptions!B29)*Assumptions!B11</f>
        <v>679517701.4495234</v>
      </c>
      <c r="C12" s="18">
        <f>-(C6-B6)*Assumptions!B11</f>
        <v>684278769.6763184</v>
      </c>
      <c r="D12" s="18">
        <f>-(D6-C6)*Assumptions!B11</f>
        <v>689073196.519995</v>
      </c>
      <c r="E12" s="18">
        <f>-(E6-D6)*Assumptions!B11</f>
        <v>693901215.7090406</v>
      </c>
      <c r="F12" s="18">
        <f>-(F6-E6)*Assumptions!B11</f>
        <v>698763062.6095812</v>
      </c>
    </row>
    <row r="13" spans="1:6" x14ac:dyDescent="0.25">
      <c r="A13" s="19" t="s">
        <v>49</v>
      </c>
      <c r="B13" s="20">
        <f>B9+B10+B11+B12</f>
        <v>11285160272.828888</v>
      </c>
      <c r="C13" s="20">
        <f>C9+C10+C11+C12</f>
        <v>11364230204.185688</v>
      </c>
      <c r="D13" s="20">
        <f>D9+D10+D11+D12</f>
        <v>11443854142.21087</v>
      </c>
      <c r="E13" s="20">
        <f>E9+E10+E11+E12</f>
        <v>11524035968.574524</v>
      </c>
      <c r="F13" s="20">
        <f>F9+F10+F11+F12</f>
        <v>11604779592.143833</v>
      </c>
    </row>
    <row r="14" spans="1:6" x14ac:dyDescent="0.25">
      <c r="A14" t="s">
        <v>50</v>
      </c>
      <c r="B14" s="21">
        <f>1/(1+Assumptions!$B$26)^(1-0.5*Assumptions!$B$32)</f>
        <v>0.9578586806776259</v>
      </c>
      <c r="C14" s="21">
        <f>1/(1+Assumptions!$B$26)^(2-0.5*Assumptions!$B$32)</f>
        <v>0.8788288760345276</v>
      </c>
      <c r="D14" s="21">
        <f>1/(1+Assumptions!$B$26)^(3-0.5*Assumptions!$B$32)</f>
        <v>0.806319563555793</v>
      </c>
      <c r="E14" s="21">
        <f>1/(1+Assumptions!$B$26)^(4-0.5*Assumptions!$B$32)</f>
        <v>0.7397927586385558</v>
      </c>
      <c r="F14" s="21">
        <f>1/(1+Assumptions!$B$26)^(5-0.5*Assumptions!$B$32)</f>
        <v>0.6787548640399256</v>
      </c>
    </row>
    <row r="15" spans="1:6" x14ac:dyDescent="0.25">
      <c r="A15" s="19" t="s">
        <v>51</v>
      </c>
      <c r="B15" s="20">
        <f>B13*B14</f>
        <v>10809588730.167435</v>
      </c>
      <c r="C15" s="20">
        <f>C13*C14</f>
        <v>9987213657.342138</v>
      </c>
      <c r="D15" s="20">
        <f>D13*D14</f>
        <v>9227403477.343624</v>
      </c>
      <c r="E15" s="20">
        <f>E13*E14</f>
        <v>8525398359.841688</v>
      </c>
      <c r="F15" s="20">
        <f>F13*F14</f>
        <v>7876800594.278891</v>
      </c>
    </row>
    <row r="17" spans="1:2" x14ac:dyDescent="0.25">
      <c r="A17" s="22" t="s">
        <v>52</v>
      </c>
      <c r="B17" s="23">
        <f>SUM(B15:F15)</f>
        <v>46426404818.97378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11604779592.143833</v>
      </c>
    </row>
    <row r="5" spans="1:2" x14ac:dyDescent="0.25">
      <c r="A5" t="s">
        <v>56</v>
      </c>
      <c r="B5" s="18">
        <f>IF(Assumptions!$B$33=0,B4,B4-Forecast!F11-Forecast!F10-Forecast!F12)</f>
        <v>10906016529.534252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0.13365919323878395</v>
      </c>
    </row>
    <row r="7" spans="1:2" x14ac:dyDescent="0.25">
      <c r="A7" t="s">
        <v>58</v>
      </c>
      <c r="B7" s="18">
        <f>-MAX(Forecast!F9,0)*B6</f>
        <v>-1457689370.7863905</v>
      </c>
    </row>
    <row r="8" spans="1:2" x14ac:dyDescent="0.25">
      <c r="A8" t="s">
        <v>59</v>
      </c>
      <c r="B8" s="18">
        <f>IF(OR(Assumptions!$B$33=0,Assumptions!B12&lt;=0),B5,MAX(B5+B7,0))</f>
        <v>9448327158.747862</v>
      </c>
    </row>
    <row r="9" spans="1:2" x14ac:dyDescent="0.25">
      <c r="A9" t="s">
        <v>60</v>
      </c>
      <c r="B9" s="18">
        <f>B8*(1+Assumptions!B12)/(Assumptions!B26-Assumptions!B12)</f>
        <v>149162042162.69702</v>
      </c>
    </row>
    <row r="10" spans="1:2" x14ac:dyDescent="0.25">
      <c r="A10" t="s">
        <v>61</v>
      </c>
      <c r="B10" s="18">
        <f>B9/(1+Assumptions!B26)^(5-0.5*Assumptions!B32)</f>
        <v>101244461648.05907</v>
      </c>
    </row>
    <row r="11" spans="1:2" x14ac:dyDescent="0.25">
      <c r="A11" t="s">
        <v>62</v>
      </c>
      <c r="B11" s="18">
        <f>Forecast!B17+B10</f>
        <v>147670866467.03284</v>
      </c>
    </row>
    <row r="12" spans="1:2" x14ac:dyDescent="0.25">
      <c r="A12" t="s">
        <v>63</v>
      </c>
      <c r="B12" s="18">
        <f>-Assumptions!B30</f>
        <v>-56639000000</v>
      </c>
    </row>
    <row r="13" spans="1:2" x14ac:dyDescent="0.25">
      <c r="A13" t="s">
        <v>64</v>
      </c>
      <c r="B13" s="18">
        <f>B11+B12</f>
        <v>91031866467.03284</v>
      </c>
    </row>
    <row r="14" spans="1:2" x14ac:dyDescent="0.25">
      <c r="A14" s="19" t="s">
        <v>65</v>
      </c>
      <c r="B14" s="24">
        <f>B13/Assumptions!B31</f>
        <v>56.75186636872984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37339133952.70331</v>
      </c>
    </row>
    <row r="18" spans="1:2" x14ac:dyDescent="0.25">
      <c r="A18" t="s">
        <v>60</v>
      </c>
      <c r="B18" s="18">
        <f>B17*Assumptions!B13</f>
        <v>297487172693.8108</v>
      </c>
    </row>
    <row r="19" spans="1:2" x14ac:dyDescent="0.25">
      <c r="A19" t="s">
        <v>61</v>
      </c>
      <c r="B19" s="18">
        <f>B18/(1+Assumptions!B26)^(5-0.5*Assumptions!B32)</f>
        <v>201920865455.4094</v>
      </c>
    </row>
    <row r="20" spans="1:2" x14ac:dyDescent="0.25">
      <c r="A20" t="s">
        <v>62</v>
      </c>
      <c r="B20" s="18">
        <f>Forecast!B17+B19</f>
        <v>248347270274.38318</v>
      </c>
    </row>
    <row r="21" spans="1:2" x14ac:dyDescent="0.25">
      <c r="A21" t="s">
        <v>63</v>
      </c>
      <c r="B21" s="18">
        <f>-Assumptions!B30</f>
        <v>-56639000000</v>
      </c>
    </row>
    <row r="22" spans="1:2" x14ac:dyDescent="0.25">
      <c r="A22" t="s">
        <v>64</v>
      </c>
      <c r="B22" s="18">
        <f>B20+B21</f>
        <v>191708270274.38318</v>
      </c>
    </row>
    <row r="23" spans="1:2" x14ac:dyDescent="0.25">
      <c r="A23" s="19" t="s">
        <v>65</v>
      </c>
      <c r="B23" s="25">
        <f>B22/Assumptions!B31</f>
        <v>119.51641286331589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162.5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56.75186636872984</v>
      </c>
    </row>
    <row r="29" spans="1:2" x14ac:dyDescent="0.25">
      <c r="A29" s="19" t="s">
        <v>73</v>
      </c>
      <c r="B29" s="12">
        <f>B28/B26-1</f>
        <v>-0.650757745423201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0.069926</v>
      </c>
      <c r="B5" s="31">
        <v>80.18648604667794</v>
      </c>
      <c r="C5" s="31">
        <v>86.44772139787962</v>
      </c>
      <c r="D5" s="31">
        <v>94.07278779821554</v>
      </c>
      <c r="E5" s="31">
        <v>103.57406980253754</v>
      </c>
      <c r="F5" s="31">
        <v>115.75736349570478</v>
      </c>
    </row>
    <row r="6" spans="1:6" x14ac:dyDescent="0.25">
      <c r="A6" s="30">
        <v>0.079926</v>
      </c>
      <c r="B6" s="31">
        <v>63.43812543249556</v>
      </c>
      <c r="C6" s="31">
        <v>67.38991270402632</v>
      </c>
      <c r="D6" s="31">
        <v>72.0377631928745</v>
      </c>
      <c r="E6" s="31">
        <v>77.59080537437883</v>
      </c>
      <c r="F6" s="31">
        <v>84.3512668091911</v>
      </c>
    </row>
    <row r="7" spans="1:6" x14ac:dyDescent="0.25">
      <c r="A7" s="30">
        <v>0.089926</v>
      </c>
      <c r="B7" s="31">
        <v>51.13683008487978</v>
      </c>
      <c r="C7" s="31">
        <v>53.752583758292054</v>
      </c>
      <c r="D7" s="32">
        <v>56.752218738853934</v>
      </c>
      <c r="E7" s="31">
        <v>60.23182386291766</v>
      </c>
      <c r="F7" s="31">
        <v>64.3224764372692</v>
      </c>
    </row>
    <row r="8" spans="1:6" x14ac:dyDescent="0.25">
      <c r="A8" s="30">
        <v>0.099926</v>
      </c>
      <c r="B8" s="31">
        <v>41.712787732915196</v>
      </c>
      <c r="C8" s="31">
        <v>43.50259657779039</v>
      </c>
      <c r="D8" s="31">
        <v>45.51548024025511</v>
      </c>
      <c r="E8" s="31">
        <v>47.799291053688066</v>
      </c>
      <c r="F8" s="31">
        <v>50.41662192793319</v>
      </c>
    </row>
    <row r="9" spans="1:6" x14ac:dyDescent="0.25">
      <c r="A9" s="30">
        <v>0.109926</v>
      </c>
      <c r="B9" s="31">
        <v>34.25761073200681</v>
      </c>
      <c r="C9" s="31">
        <v>35.511091720639655</v>
      </c>
      <c r="D9" s="31">
        <v>36.89878457153123</v>
      </c>
      <c r="E9" s="31">
        <v>38.445877307776435</v>
      </c>
      <c r="F9" s="31">
        <v>40.18428139242285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228285000000</v>
      </c>
      <c r="C5" s="18">
        <v>234478000000</v>
      </c>
      <c r="D5" s="18">
        <v>236035000000</v>
      </c>
      <c r="E5" s="18">
        <v>223553000000</v>
      </c>
      <c r="F5" s="8" t="s">
        <v>84</v>
      </c>
    </row>
    <row r="6" spans="1:6" x14ac:dyDescent="0.25">
      <c r="A6" t="s">
        <v>44</v>
      </c>
      <c r="B6" s="18">
        <v>18529000000</v>
      </c>
      <c r="C6" s="18">
        <v>17384000000</v>
      </c>
      <c r="D6" s="18">
        <v>13566000000</v>
      </c>
      <c r="E6" s="18">
        <v>7438000000</v>
      </c>
      <c r="F6" s="8" t="s">
        <v>85</v>
      </c>
    </row>
    <row r="7" spans="1:6" x14ac:dyDescent="0.25">
      <c r="A7" t="s">
        <v>86</v>
      </c>
      <c r="B7" s="18">
        <v>21140000000</v>
      </c>
      <c r="C7" s="18">
        <v>22252000000</v>
      </c>
      <c r="D7" s="18">
        <v>22955000000</v>
      </c>
      <c r="E7" s="18">
        <v>22579000000</v>
      </c>
      <c r="F7" s="8" t="s">
        <v>87</v>
      </c>
    </row>
    <row r="8" spans="1:6" x14ac:dyDescent="0.25">
      <c r="A8" t="s">
        <v>88</v>
      </c>
      <c r="B8" s="18">
        <v>10679000000</v>
      </c>
      <c r="C8" s="18">
        <v>11448000000</v>
      </c>
      <c r="D8" s="18">
        <v>8964000000</v>
      </c>
      <c r="E8" s="18">
        <v>6011000000</v>
      </c>
      <c r="F8" s="8" t="s">
        <v>89</v>
      </c>
    </row>
    <row r="9" spans="1:6" x14ac:dyDescent="0.25">
      <c r="A9" t="s">
        <v>90</v>
      </c>
      <c r="B9" s="18">
        <v>2631000000</v>
      </c>
      <c r="C9" s="18">
        <v>4989000000</v>
      </c>
      <c r="D9" s="18">
        <v>-4843000000</v>
      </c>
      <c r="E9" s="18">
        <v>1588000000</v>
      </c>
      <c r="F9" s="8" t="s">
        <v>91</v>
      </c>
    </row>
    <row r="10" spans="1:6" x14ac:dyDescent="0.25">
      <c r="A10" t="s">
        <v>92</v>
      </c>
      <c r="B10" s="18">
        <v>77547000000</v>
      </c>
      <c r="C10" s="18">
        <v>76954000000</v>
      </c>
      <c r="D10" s="18">
        <v>77970000000</v>
      </c>
      <c r="E10" s="18">
        <v>72635000000</v>
      </c>
      <c r="F10" s="8" t="s">
        <v>93</v>
      </c>
    </row>
    <row r="11" spans="1:6" x14ac:dyDescent="0.25">
      <c r="A11" t="s">
        <v>94</v>
      </c>
      <c r="B11" s="18">
        <v>20908000000</v>
      </c>
      <c r="C11" s="18">
        <v>17340000000</v>
      </c>
      <c r="D11" s="18">
        <v>26398000000</v>
      </c>
      <c r="E11" s="18">
        <v>21707000000</v>
      </c>
      <c r="F11" s="8" t="s">
        <v>95</v>
      </c>
    </row>
    <row r="12" spans="1:6" x14ac:dyDescent="0.25">
      <c r="A12" t="s">
        <v>32</v>
      </c>
      <c r="B12" s="34">
        <v>1604033000</v>
      </c>
      <c r="C12" s="34">
        <v>1611695000</v>
      </c>
      <c r="D12" s="34">
        <v>1629097000</v>
      </c>
      <c r="E12" s="34">
        <v>1649847000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