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<sst xmlns="http://schemas.openxmlformats.org/spreadsheetml/2006/main" count="119" uniqueCount="104">
  <si>
    <t>Hannover Rück SE (HNR1.DE)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</si>
  <si>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</si>
  <si>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</si>
  <si>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</si>
  <si>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</si>
  <si>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</si>
  <si>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</si>
  <si>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</si>
  <si>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</si>
  <si>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</si>
  <si>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</si>
  <si>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</si>
  <si>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</si>
  <si>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</si>
  <si>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</si>
  <si>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</si>
  <si>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</si>
  <si>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</si>
  <si>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</si>
  <si>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</si>
  <si>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</si>
  <si>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</si>
  <si>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</si>
  <si>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</si>
  <si>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</si>
  <si>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</si>
  <si>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</si>
  <si>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</si>
  <si>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</si>
  <si>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</si>
  <si>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</si>
  <si>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</si>
  <si>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</si>
  <si>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</si>
  <si>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</si>
  <si>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</si>
  <si>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</si>
  <si>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</si>
  <si>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</si>
  <si>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</si>
  <si>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</si>
  <si>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</si>
  <si>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</si>
  <si>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</si>
  <si>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</si>
  <si>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</si>
  <si>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</si>
  <si>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</si>
  <si>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</si>
  <si>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</si>
  <si>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</si>
  <si>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</si>
  <si>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</si>
  <si>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</si>
  <si>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</si>
  <si>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</si>
  <si>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</si>
  <si>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</si>
  <si>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</si>
  <si>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</si>
  <si>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</si>
  <si>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</si>
  <si>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</si>
  <si>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</si>
  <si>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</si>
  <si>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</si>
  <si>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</si>
  <si>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</si>
  <si>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</si>
  <si>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</si>
  <si>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</si>
  <si>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</si>
  <si>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</si>
  <si>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</si>
  <si>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</si>
  <si>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</si>
  <si>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</si>
  <si>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</si>
  <si>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</si>
  <si>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</si>
  <si>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</si>
  <si>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</si>
  <si>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</si>
  <si>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</si>
  <si>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</si>
  <si>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</si>
  <si>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</si>
  <si>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</si>
  <si>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</si>
  <si>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</si>
  <si>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</si>
  <si>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</si>
  <si>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</si>
  <si>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</si>
  <si>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</si>
  <si>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</si>
  <si>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</si>
  <si>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</si>
  <si>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</si>
  <si>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1.22% of revenue so the forecast is not handed free growth. Override it if the reported figure is right.</t>
  </si>
  <si>
    <t>Adjusted: Capital expenditure runs at 1.2% of revenue against depreciation of -0.1%.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</si>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</sst>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0.026424283658853076</v>
      </c>
    </row>
    <row r="7" spans="1:2" x14ac:dyDescent="0.25">
      <c r="A7" t="s">
        <v>5</v>
      </c>
      <c r="B7" s="6">
        <v>0.1062361769381706</v>
      </c>
    </row>
    <row r="8" spans="1:2" x14ac:dyDescent="0.25">
      <c r="A8" t="s">
        <v>6</v>
      </c>
      <c r="B8" s="6">
        <v>0.22159121237404505</v>
      </c>
    </row>
    <row r="9" spans="1:2" x14ac:dyDescent="0.25">
      <c r="A9" t="s">
        <v>7</v>
      </c>
      <c r="B9" s="6">
        <v>-0.0009442846079729133</v>
      </c>
    </row>
    <row r="10" spans="1:2" x14ac:dyDescent="0.25">
      <c r="A10" t="s">
        <v>8</v>
      </c>
      <c r="B10" s="6">
        <v>0.012225328902936488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0.1248833311322891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0.41374999999999995</v>
      </c>
      <c r="C19" s="8" t="s">
        <v>19</v>
      </c>
    </row>
    <row r="20" spans="1:2" x14ac:dyDescent="0.25">
      <c r="A20" t="s">
        <v>20</v>
      </c>
      <c r="B20" s="10">
        <f>B17+B19*B18</f>
        <v>0.050824999999999995</v>
      </c>
    </row>
    <row r="21" spans="1:3" x14ac:dyDescent="0.25">
      <c r="A21" t="s">
        <v>21</v>
      </c>
      <c r="B21" s="6">
        <v>0.030325040857090976</v>
      </c>
      <c r="C21" s="8" t="s">
        <v>22</v>
      </c>
    </row>
    <row r="22" spans="1:2" x14ac:dyDescent="0.25">
      <c r="A22" t="s">
        <v>23</v>
      </c>
      <c r="B22" s="11">
        <v>30438715392</v>
      </c>
    </row>
    <row r="23" spans="1:2" x14ac:dyDescent="0.25">
      <c r="A23" t="s">
        <v>24</v>
      </c>
      <c r="B23" s="11">
        <v>4142300000</v>
      </c>
    </row>
    <row r="24" spans="1:2" x14ac:dyDescent="0.25">
      <c r="A24" t="s">
        <v>25</v>
      </c>
      <c r="B24" s="10">
        <f>B22/(B22+B23)</f>
        <v>0.8802146220102524</v>
      </c>
    </row>
    <row r="25" spans="1:2" x14ac:dyDescent="0.25">
      <c r="A25" t="s">
        <v>26</v>
      </c>
      <c r="B25" s="10">
        <f>1-B24</f>
        <v>0.11978537798974764</v>
      </c>
    </row>
    <row r="26" spans="1:2" x14ac:dyDescent="0.25">
      <c r="A26" t="s">
        <v>27</v>
      </c>
      <c r="B26" s="12">
        <f>B24*B20+B25*B21*(1-B8)</f>
        <v>0.04756447534598536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24017800000</v>
      </c>
      <c r="C29" s="8" t="s">
        <v>30</v>
      </c>
    </row>
    <row r="30" spans="1:2" x14ac:dyDescent="0.25">
      <c r="A30" t="s">
        <v>31</v>
      </c>
      <c r="B30" s="11">
        <v>-54595300000</v>
      </c>
    </row>
    <row r="31" spans="1:2" x14ac:dyDescent="0.25">
      <c r="A31" t="s">
        <v>32</v>
      </c>
      <c r="B31" s="13">
        <v>120597003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0.026424283658853076</v>
      </c>
      <c r="C5" s="10">
        <f>Assumptions!B6</f>
        <v>0.026424283658853076</v>
      </c>
      <c r="D5" s="10">
        <f>Assumptions!B6</f>
        <v>0.026424283658853076</v>
      </c>
      <c r="E5" s="10">
        <f>Assumptions!B6</f>
        <v>0.026424283658853076</v>
      </c>
      <c r="F5" s="10">
        <f>Assumptions!B6</f>
        <v>0.026424283658853076</v>
      </c>
    </row>
    <row r="6" spans="1:6" x14ac:dyDescent="0.25">
      <c r="A6" t="s">
        <v>43</v>
      </c>
      <c r="B6" s="18">
        <f>Assumptions!B29*(1+B5)</f>
        <v>24652453160.0616</v>
      </c>
      <c r="C6" s="18">
        <f>B6*(1+C5)</f>
        <v>25303876575.249657</v>
      </c>
      <c r="D6" s="18">
        <f>C6*(1+D5)</f>
        <v>25972513387.54266</v>
      </c>
      <c r="E6" s="18">
        <f>D6*(1+E5)</f>
        <v>26658818448.628445</v>
      </c>
      <c r="F6" s="18">
        <f>E6*(1+F5)</f>
        <v>27363258629.324867</v>
      </c>
    </row>
    <row r="7" spans="1:6" x14ac:dyDescent="0.25">
      <c r="A7" t="s">
        <v>5</v>
      </c>
      <c r="B7" s="10">
        <f>Assumptions!B7</f>
        <v>0.1062361769381706</v>
      </c>
      <c r="C7" s="10">
        <f>Assumptions!B7</f>
        <v>0.1062361769381706</v>
      </c>
      <c r="D7" s="10">
        <f>Assumptions!B7</f>
        <v>0.1062361769381706</v>
      </c>
      <c r="E7" s="10">
        <f>Assumptions!B7</f>
        <v>0.1062361769381706</v>
      </c>
      <c r="F7" s="10">
        <f>Assumptions!B7</f>
        <v>0.1062361769381706</v>
      </c>
    </row>
    <row r="8" spans="1:6" x14ac:dyDescent="0.25">
      <c r="A8" t="s">
        <v>44</v>
      </c>
      <c r="B8" s="18">
        <f>B6*B7</f>
        <v>2618982375.8722672</v>
      </c>
      <c r="C8" s="18">
        <f>C6*C7</f>
        <v>2688187109.069853</v>
      </c>
      <c r="D8" s="18">
        <f>D6*D7</f>
        <v>2759220527.767987</v>
      </c>
      <c r="E8" s="18">
        <f>E6*E7</f>
        <v>2832130953.671058</v>
      </c>
      <c r="F8" s="18">
        <f>F6*F7</f>
        <v>2906967985.34988</v>
      </c>
    </row>
    <row r="9" spans="1:6" x14ac:dyDescent="0.25">
      <c r="A9" t="s">
        <v>45</v>
      </c>
      <c r="B9" s="18">
        <f>B8*(1-Assumptions!B8)</f>
        <v>2038638896.0164745</v>
      </c>
      <c r="C9" s="18">
        <f>C8*(1-Assumptions!B8)</f>
        <v>2092508468.4827847</v>
      </c>
      <c r="D9" s="18">
        <f>D8*(1-Assumptions!B8)</f>
        <v>2147801505.8125257</v>
      </c>
      <c r="E9" s="18">
        <f>E8*(1-Assumptions!B8)</f>
        <v>2204555622.0450277</v>
      </c>
      <c r="F9" s="18">
        <f>F8*(1-Assumptions!B8)</f>
        <v>2262809425.143665</v>
      </c>
    </row>
    <row r="10" spans="1:6" x14ac:dyDescent="0.25">
      <c r="A10" t="s">
        <v>46</v>
      </c>
      <c r="B10" s="18">
        <f>B6*Assumptions!B9</f>
        <v>-23278932.067819376</v>
      </c>
      <c r="C10" s="18">
        <f>C6*Assumptions!B9</f>
        <v>-23894061.172054607</v>
      </c>
      <c r="D10" s="18">
        <f>D6*Assumptions!B9</f>
        <v>-24525444.622226965</v>
      </c>
      <c r="E10" s="18">
        <f>E6*Assumptions!B9</f>
        <v>-25173511.92778418</v>
      </c>
      <c r="F10" s="18">
        <f>F6*Assumptions!B9</f>
        <v>-25838703.94765347</v>
      </c>
    </row>
    <row r="11" spans="1:6" x14ac:dyDescent="0.25">
      <c r="A11" t="s">
        <v>47</v>
      </c>
      <c r="B11" s="18">
        <f>-B6*Assumptions!B10</f>
        <v>-301384348.14598906</v>
      </c>
      <c r="C11" s="18">
        <f>-C6*Assumptions!B10</f>
        <v>-309348213.6517372</v>
      </c>
      <c r="D11" s="18">
        <f>-D6*Assumptions!B10</f>
        <v>-317522518.5986302</v>
      </c>
      <c r="E11" s="18">
        <f>-E6*Assumptions!B10</f>
        <v>-325912823.6981538</v>
      </c>
      <c r="F11" s="18">
        <f>-F6*Assumptions!B10</f>
        <v>-334524836.5996116</v>
      </c>
    </row>
    <row r="12" spans="1:6" x14ac:dyDescent="0.25">
      <c r="A12" t="s">
        <v>48</v>
      </c>
      <c r="B12" s="18">
        <f>-(B6-Assumptions!B29)*Assumptions!B11</f>
        <v>634653160.0615997</v>
      </c>
      <c r="C12" s="18">
        <f>-(C6-B6)*Assumptions!B11</f>
        <v>651423415.188057</v>
      </c>
      <c r="D12" s="18">
        <f>-(D6-C6)*Assumptions!B11</f>
        <v>668636812.2930031</v>
      </c>
      <c r="E12" s="18">
        <f>-(E6-D6)*Assumptions!B11</f>
        <v>686305061.0857849</v>
      </c>
      <c r="F12" s="18">
        <f>-(F6-E6)*Assumptions!B11</f>
        <v>704440180.6964226</v>
      </c>
    </row>
    <row r="13" spans="1:6" x14ac:dyDescent="0.25">
      <c r="A13" s="19" t="s">
        <v>49</v>
      </c>
      <c r="B13" s="20">
        <f>B9+B10+B11+B12</f>
        <v>2348628775.864266</v>
      </c>
      <c r="C13" s="20">
        <f>C9+C10+C11+C12</f>
        <v>2410689608.8470497</v>
      </c>
      <c r="D13" s="20">
        <f>D9+D10+D11+D12</f>
        <v>2474390354.8846717</v>
      </c>
      <c r="E13" s="20">
        <f>E9+E10+E11+E12</f>
        <v>2539774347.504875</v>
      </c>
      <c r="F13" s="20">
        <f>F9+F10+F11+F12</f>
        <v>2606886065.292823</v>
      </c>
    </row>
    <row r="14" spans="1:6" x14ac:dyDescent="0.25">
      <c r="A14" t="s">
        <v>50</v>
      </c>
      <c r="B14" s="21">
        <f>1/(1+Assumptions!$B$26)^(1-0.5*Assumptions!$B$32)</f>
        <v>0.9770338689348249</v>
      </c>
      <c r="C14" s="21">
        <f>1/(1+Assumptions!$B$26)^(2-0.5*Assumptions!$B$32)</f>
        <v>0.9326718230036717</v>
      </c>
      <c r="D14" s="21">
        <f>1/(1+Assumptions!$B$26)^(3-0.5*Assumptions!$B$32)</f>
        <v>0.8903240277364622</v>
      </c>
      <c r="E14" s="21">
        <f>1/(1+Assumptions!$B$26)^(4-0.5*Assumptions!$B$32)</f>
        <v>0.849899026446472</v>
      </c>
      <c r="F14" s="21">
        <f>1/(1+Assumptions!$B$26)^(5-0.5*Assumptions!$B$32)</f>
        <v>0.8113095150212789</v>
      </c>
    </row>
    <row r="15" spans="1:6" x14ac:dyDescent="0.25">
      <c r="A15" s="19" t="s">
        <v>51</v>
      </c>
      <c r="B15" s="20">
        <f>B13*B14</f>
        <v>2294689859.5743256</v>
      </c>
      <c r="C15" s="20">
        <f>C13*C14</f>
        <v>2248382272.179386</v>
      </c>
      <c r="D15" s="20">
        <f>D13*D14</f>
        <v>2203009186.953175</v>
      </c>
      <c r="E15" s="20">
        <f>E13*E14</f>
        <v>2158551745.338117</v>
      </c>
      <c r="F15" s="20">
        <f>F13*F14</f>
        <v>2114991469.3484502</v>
      </c>
    </row>
    <row r="17" spans="1:2" x14ac:dyDescent="0.25">
      <c r="A17" s="22" t="s">
        <v>52</v>
      </c>
      <c r="B17" s="23">
        <f>SUM(B15:F15)</f>
        <v>11019624533.393454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2606886065.292823</v>
      </c>
    </row>
    <row r="5" spans="1:2" x14ac:dyDescent="0.25">
      <c r="A5" t="s">
        <v>56</v>
      </c>
      <c r="B5" s="18">
        <f>IF(Assumptions!$B$33=0,B4,B4-Forecast!F11-Forecast!F10-Forecast!F12)</f>
        <v>2262809425.143665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0.20018684457990205</v>
      </c>
    </row>
    <row r="7" spans="1:2" x14ac:dyDescent="0.25">
      <c r="A7" t="s">
        <v>58</v>
      </c>
      <c r="B7" s="18">
        <f>-MAX(Forecast!F9,0)*B6</f>
        <v>-452984678.7051723</v>
      </c>
    </row>
    <row r="8" spans="1:2" x14ac:dyDescent="0.25">
      <c r="A8" t="s">
        <v>59</v>
      </c>
      <c r="B8" s="18">
        <f>IF(OR(Assumptions!$B$33=0,Assumptions!B12&lt;=0),B5,MAX(B5+B7,0))</f>
        <v>1809824746.4384925</v>
      </c>
    </row>
    <row r="9" spans="1:2" x14ac:dyDescent="0.25">
      <c r="A9" t="s">
        <v>60</v>
      </c>
      <c r="B9" s="18">
        <f>B8*(1+Assumptions!B12)/(Assumptions!B26-Assumptions!B12)</f>
        <v>82211987500.49849</v>
      </c>
    </row>
    <row r="10" spans="1:2" x14ac:dyDescent="0.25">
      <c r="A10" t="s">
        <v>61</v>
      </c>
      <c r="B10" s="18">
        <f>B9/(1+Assumptions!B26)^(5-0.5*Assumptions!B32)</f>
        <v>66699367707.964874</v>
      </c>
    </row>
    <row r="11" spans="1:2" x14ac:dyDescent="0.25">
      <c r="A11" t="s">
        <v>62</v>
      </c>
      <c r="B11" s="18">
        <f>Forecast!B17+B10</f>
        <v>77718992241.35832</v>
      </c>
    </row>
    <row r="12" spans="1:2" x14ac:dyDescent="0.25">
      <c r="A12" t="s">
        <v>63</v>
      </c>
      <c r="B12" s="18">
        <f>-Assumptions!B30</f>
        <v>54595300000</v>
      </c>
    </row>
    <row r="13" spans="1:2" x14ac:dyDescent="0.25">
      <c r="A13" t="s">
        <v>64</v>
      </c>
      <c r="B13" s="18">
        <f>B11+B12</f>
        <v>132314292241.35832</v>
      </c>
    </row>
    <row r="14" spans="1:2" x14ac:dyDescent="0.25">
      <c r="A14" s="19" t="s">
        <v>65</v>
      </c>
      <c r="B14" s="24">
        <f>B13/Assumptions!B31</f>
        <v>1097.1607000993079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2881129281.402227</v>
      </c>
    </row>
    <row r="18" spans="1:2" x14ac:dyDescent="0.25">
      <c r="A18" t="s">
        <v>60</v>
      </c>
      <c r="B18" s="18">
        <f>B17*Assumptions!B13</f>
        <v>23049034251.217815</v>
      </c>
    </row>
    <row r="19" spans="1:2" x14ac:dyDescent="0.25">
      <c r="A19" t="s">
        <v>61</v>
      </c>
      <c r="B19" s="18">
        <f>B18/(1+Assumptions!B26)^(5-0.5*Assumptions!B32)</f>
        <v>18699900800.064373</v>
      </c>
    </row>
    <row r="20" spans="1:2" x14ac:dyDescent="0.25">
      <c r="A20" t="s">
        <v>62</v>
      </c>
      <c r="B20" s="18">
        <f>Forecast!B17+B19</f>
        <v>29719525333.457825</v>
      </c>
    </row>
    <row r="21" spans="1:2" x14ac:dyDescent="0.25">
      <c r="A21" t="s">
        <v>63</v>
      </c>
      <c r="B21" s="18">
        <f>-Assumptions!B30</f>
        <v>54595300000</v>
      </c>
    </row>
    <row r="22" spans="1:2" x14ac:dyDescent="0.25">
      <c r="A22" t="s">
        <v>64</v>
      </c>
      <c r="B22" s="18">
        <f>B20+B21</f>
        <v>84314825333.45782</v>
      </c>
    </row>
    <row r="23" spans="1:2" x14ac:dyDescent="0.25">
      <c r="A23" s="19" t="s">
        <v>65</v>
      </c>
      <c r="B23" s="25">
        <f>B22/Assumptions!B31</f>
        <v>699.1452792028159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252.4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1097.1607000993079</v>
      </c>
    </row>
    <row r="29" spans="1:2" x14ac:dyDescent="0.25">
      <c r="A29" s="19" t="s">
        <v>73</v>
      </c>
      <c r="B29" s="12">
        <f>B28/B26-1</f>
        <v>3.346912440963977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0.027564</v>
      </c>
      <c r="B5" s="31">
        <v>1728.7052426523649</v>
      </c>
      <c r="C5" s="31">
        <v>2428.834301045645</v>
      </c>
      <c r="D5" s="31">
        <v>5856.983410213359</v>
      </c>
      <c r="E5" s="31" t="s">
        <v>76</v>
      </c>
      <c r="F5" s="31" t="s">
        <v>76</v>
      </c>
    </row>
    <row r="6" spans="1:6" x14ac:dyDescent="0.25">
      <c r="A6" s="30">
        <v>0.037564</v>
      </c>
      <c r="B6" s="31">
        <v>1175.3769147289672</v>
      </c>
      <c r="C6" s="31">
        <v>1321.4907561926066</v>
      </c>
      <c r="D6" s="31">
        <v>1583.3937341325868</v>
      </c>
      <c r="E6" s="31">
        <v>2190.7047072407536</v>
      </c>
      <c r="F6" s="31">
        <v>5164.141275955023</v>
      </c>
    </row>
    <row r="7" spans="1:6" x14ac:dyDescent="0.25">
      <c r="A7" s="30">
        <v>0.047564</v>
      </c>
      <c r="B7" s="31">
        <v>961.5824600794425</v>
      </c>
      <c r="C7" s="31">
        <v>1017.1907347210731</v>
      </c>
      <c r="D7" s="32">
        <v>1097.1735828591304</v>
      </c>
      <c r="E7" s="31">
        <v>1222.3473676481585</v>
      </c>
      <c r="F7" s="31">
        <v>1446.6649742970521</v>
      </c>
    </row>
    <row r="8" spans="1:6" x14ac:dyDescent="0.25">
      <c r="A8" s="30">
        <v>0.057564</v>
      </c>
      <c r="B8" s="31">
        <v>848.0251665934252</v>
      </c>
      <c r="C8" s="31">
        <v>874.6124900679395</v>
      </c>
      <c r="D8" s="31">
        <v>909.1851177878726</v>
      </c>
      <c r="E8" s="31">
        <v>956.0885570700622</v>
      </c>
      <c r="F8" s="31">
        <v>1023.5200324063459</v>
      </c>
    </row>
    <row r="9" spans="1:6" x14ac:dyDescent="0.25">
      <c r="A9" s="30">
        <v>0.067564</v>
      </c>
      <c r="B9" s="31">
        <v>777.5068609420528</v>
      </c>
      <c r="C9" s="31">
        <v>791.7670040443402</v>
      </c>
      <c r="D9" s="31">
        <v>809.2459188529498</v>
      </c>
      <c r="E9" s="31">
        <v>831.2289204460108</v>
      </c>
      <c r="F9" s="31">
        <v>859.7907324989554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24017800000</v>
      </c>
      <c r="C5" s="18">
        <v>23910800000</v>
      </c>
      <c r="D5" s="18">
        <v>21982600000</v>
      </c>
      <c r="E5" s="18">
        <v>22210200000</v>
      </c>
      <c r="F5" s="8" t="s">
        <v>85</v>
      </c>
    </row>
    <row r="6" spans="1:6" x14ac:dyDescent="0.25">
      <c r="A6" t="s">
        <v>44</v>
      </c>
      <c r="B6" s="18">
        <v>3412800000</v>
      </c>
      <c r="C6" s="18">
        <v>3213300000</v>
      </c>
      <c r="D6" s="18">
        <v>1854000000</v>
      </c>
      <c r="E6" s="18">
        <v>1424200000</v>
      </c>
      <c r="F6" s="8" t="s">
        <v>86</v>
      </c>
    </row>
    <row r="7" spans="1:6" x14ac:dyDescent="0.25">
      <c r="A7" t="s">
        <v>87</v>
      </c>
      <c r="B7" s="18">
        <v>0</v>
      </c>
      <c r="C7" s="18">
        <v>0</v>
      </c>
      <c r="D7" s="18">
        <v>0</v>
      </c>
      <c r="E7" s="18">
        <v>-83891000</v>
      </c>
      <c r="F7" s="8" t="s">
        <v>86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86</v>
      </c>
    </row>
    <row r="9" spans="1:6" x14ac:dyDescent="0.25">
      <c r="A9" t="s">
        <v>89</v>
      </c>
      <c r="B9" s="18">
        <v>-2551200000</v>
      </c>
      <c r="C9" s="18">
        <v>-3731500000</v>
      </c>
      <c r="D9" s="18">
        <v>-5473400000</v>
      </c>
      <c r="E9" s="18">
        <v>1019500000</v>
      </c>
      <c r="F9" s="8" t="s">
        <v>90</v>
      </c>
    </row>
    <row r="10" spans="1:6" x14ac:dyDescent="0.25">
      <c r="A10" t="s">
        <v>91</v>
      </c>
      <c r="B10" s="18">
        <v>4142300000</v>
      </c>
      <c r="C10" s="18">
        <v>4668900000</v>
      </c>
      <c r="D10" s="18">
        <v>4875400000</v>
      </c>
      <c r="E10" s="18">
        <v>5510300000</v>
      </c>
      <c r="F10" s="8" t="s">
        <v>92</v>
      </c>
    </row>
    <row r="11" spans="1:6" x14ac:dyDescent="0.25">
      <c r="A11" t="s">
        <v>93</v>
      </c>
      <c r="B11" s="18">
        <v>58737600000</v>
      </c>
      <c r="C11" s="18">
        <v>57935400000</v>
      </c>
      <c r="D11" s="18">
        <v>52634300000</v>
      </c>
      <c r="E11" s="18">
        <v>48805400000</v>
      </c>
      <c r="F11" s="8" t="s">
        <v>94</v>
      </c>
    </row>
    <row r="12" spans="1:6" x14ac:dyDescent="0.25">
      <c r="A12" t="s">
        <v>32</v>
      </c>
      <c r="B12" s="34">
        <v>120597003</v>
      </c>
      <c r="C12" s="34">
        <v>120597011</v>
      </c>
      <c r="D12" s="34">
        <v>120597290</v>
      </c>
      <c r="E12" s="34">
        <v>120596910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54" customHeight="1" spans="1:6" x14ac:dyDescent="0.25">
      <c r="A19" s="35" t="s">
        <v>100</v>
      </c>
      <c r="B19" s="35"/>
      <c r="C19" s="35"/>
      <c r="D19" s="35"/>
      <c r="E19" s="35"/>
      <c r="F19" s="35"/>
    </row>
    <row r="20" ht="22" customHeight="1" spans="1:6" x14ac:dyDescent="0.25">
      <c r="A20" s="35" t="s">
        <v>101</v>
      </c>
      <c r="B20" s="35"/>
      <c r="C20" s="35"/>
      <c r="D20" s="35"/>
      <c r="E20" s="35"/>
      <c r="F20" s="35"/>
    </row>
    <row r="21" ht="22" customHeight="1" spans="1:6" x14ac:dyDescent="0.25">
      <c r="A21" s="35" t="s">
        <v>102</v>
      </c>
      <c r="B21" s="35"/>
      <c r="C21" s="35"/>
      <c r="D21" s="35"/>
      <c r="E21" s="35"/>
      <c r="F21" s="35"/>
    </row>
    <row r="23" spans="1:1" x14ac:dyDescent="0.25">
      <c r="A23" s="36" t="s">
        <v>103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2026-09-19T00:11:05Z</dcterms:modified>
</cp:coreProperties>
</file>