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<sst xmlns="http://schemas.openxmlformats.org/spreadsheetml/2006/main" count="114" uniqueCount="101">
  <si>
    <t>Holcim AG (HOLN.SW)</t>
  </si>
  <si>
    <t>DCF Studio - Base case</t>
  </si>
  <si>
    <t>Blue figures on a cream fill are inputs. Every other figure is a formula - change an input and the model reprices. Currency figures are CHF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</si>
  <si>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</si>
  <si>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</si>
  <si>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</si>
  <si>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</si>
  <si>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</si>
  <si>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</si>
  <si>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</si>
  <si>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</si>
  <si>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</si>
  <si>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</si>
  <si>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</si>
  <si>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</si>
  <si>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</si>
  <si>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CHF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</si>
  <si>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</si>
  <si>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</si>
  <si>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</si>
  <si>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</si>
  <si>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</si>
  <si>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</si>
  <si>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(CHF m)</t>
  </si>
  <si>
    <t>Total debt (CHF m)</t>
  </si>
  <si>
    <t>Equity weight</t>
  </si>
  <si>
    <t>Debt weight</t>
  </si>
  <si>
    <t>WACC</t>
  </si>
  <si>
    <t>Base year</t>
  </si>
  <si>
    <t>Revenue, last reported year (CHF m)</t>
  </si>
  <si>
    <t>Fiscal year ended 2025-12-31</t>
  </si>
  <si>
    <t>Net debt (CHF m)</t>
  </si>
  <si>
    <t>Diluted shares</t>
  </si>
  <si>
    <t>Mid-year discounting (1 = yes, 0 = no)</t>
  </si>
  <si>
    <t>Terminal year on a steady-state footing (1 = yes, 0 = no)</t>
  </si>
  <si>
    <t>Forecast cashflows (CHF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</si>
  <si>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</si>
  <si>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</si>
  <si>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</si>
  <si>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</si>
  <si>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</si>
  <si>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</si>
  <si>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</si>
  <si>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</si>
  <si>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</si>
  <si>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</si>
  <si>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</si>
  <si>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</si>
  <si>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</si>
  <si>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</si>
  <si>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</si>
  <si>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</si>
  <si>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</si>
  <si>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(CHF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</si>
  <si>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</si>
  <si>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</si>
  <si>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</si>
  <si>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</si>
  <si>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</si>
  <si>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</si>
  <si>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</si>
  <si>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</si>
  <si>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</si>
  <si>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</si>
  <si>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</si>
  <si>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</si>
  <si>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</si>
  <si>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</si>
  <si>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</si>
  <si>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(CHF)</t>
  </si>
  <si>
    <t>Conversion, CHF to CHF</t>
  </si>
  <si>
    <t>Same currency, no conversion</t>
  </si>
  <si>
    <t>Value per share (CHF)</t>
  </si>
  <si>
    <t>Implied upside</t>
  </si>
  <si>
    <t>Value per share (CHF)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</si>
  <si>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</si>
  <si>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n/a</t>
  </si>
  <si>
    <t>Reported history and provenance (CHF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</si>
  <si>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</si>
  <si>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</si>
  <si>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</si>
  <si>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</si>
  <si>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</si>
  <si>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</si>
  <si>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</si>
  <si>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</si>
  <si>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</si>
  <si>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</si>
  <si>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</si>
  <si>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</si>
  <si>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</si>
  <si>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</si>
  <si>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</si>
  <si>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</si>
  <si>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</si>
  <si>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</si>
  <si>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</si>
  <si>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</si>
  <si>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</si>
  <si>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Note: Risk-free rate is an assumption: CHF assumption - no free live source available for this market.</t>
  </si>
  <si>
    <t>Data: Yahoo Finance. Risk-free rate: CHF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</si>
</sst>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-0.18633068257661967</v>
      </c>
    </row>
    <row r="7" spans="1:2" x14ac:dyDescent="0.25">
      <c r="A7" t="s">
        <v>5</v>
      </c>
      <c r="B7" s="6">
        <v>0.13514384255377826</v>
      </c>
    </row>
    <row r="8" spans="1:2" x14ac:dyDescent="0.25">
      <c r="A8" t="s">
        <v>6</v>
      </c>
      <c r="B8" s="6">
        <v>0.15</v>
      </c>
    </row>
    <row r="9" spans="1:2" x14ac:dyDescent="0.25">
      <c r="A9" t="s">
        <v>7</v>
      </c>
      <c r="B9" s="6">
        <v>0.0855707696989067</v>
      </c>
    </row>
    <row r="10" spans="1:2" x14ac:dyDescent="0.25">
      <c r="A10" t="s">
        <v>8</v>
      </c>
      <c r="B10" s="6">
        <v>0.06080943673682611</v>
      </c>
    </row>
    <row r="11" spans="1:2" x14ac:dyDescent="0.25">
      <c r="A11" t="s">
        <v>9</v>
      </c>
      <c r="B11" s="6">
        <v>0.018042190969652108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11.351614355766547</v>
      </c>
    </row>
    <row r="14" spans="1:3" x14ac:dyDescent="0.25">
      <c r="A14" t="s">
        <v>12</v>
      </c>
      <c r="B14" s="6">
        <v>0.06740779487644416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0.005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0.8258</v>
      </c>
      <c r="C19" s="8" t="s">
        <v>19</v>
      </c>
    </row>
    <row r="20" spans="1:2" x14ac:dyDescent="0.25">
      <c r="A20" t="s">
        <v>20</v>
      </c>
      <c r="B20" s="10">
        <f>B17+B19*B18</f>
        <v>0.050419</v>
      </c>
    </row>
    <row r="21" spans="1:3" x14ac:dyDescent="0.25">
      <c r="A21" t="s">
        <v>21</v>
      </c>
      <c r="B21" s="6">
        <v>0.032708121592904</v>
      </c>
      <c r="C21" s="8" t="s">
        <v>22</v>
      </c>
    </row>
    <row r="22" spans="1:2" x14ac:dyDescent="0.25">
      <c r="A22" t="s">
        <v>23</v>
      </c>
      <c r="B22" s="11">
        <v>37369131008</v>
      </c>
    </row>
    <row r="23" spans="1:2" x14ac:dyDescent="0.25">
      <c r="A23" t="s">
        <v>24</v>
      </c>
      <c r="B23" s="11">
        <v>8724000000</v>
      </c>
    </row>
    <row r="24" spans="1:2" x14ac:dyDescent="0.25">
      <c r="A24" t="s">
        <v>25</v>
      </c>
      <c r="B24" s="10">
        <f>B22/(B22+B23)</f>
        <v>0.8107310176328475</v>
      </c>
    </row>
    <row r="25" spans="1:2" x14ac:dyDescent="0.25">
      <c r="A25" t="s">
        <v>26</v>
      </c>
      <c r="B25" s="10">
        <f>1-B24</f>
        <v>0.1892689823671525</v>
      </c>
    </row>
    <row r="26" spans="1:2" x14ac:dyDescent="0.25">
      <c r="A26" t="s">
        <v>27</v>
      </c>
      <c r="B26" s="12">
        <f>B24*B20+B25*B21*(1-B8)</f>
        <v>0.04613828513370606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15724000000</v>
      </c>
      <c r="C29" s="8" t="s">
        <v>30</v>
      </c>
    </row>
    <row r="30" spans="1:2" x14ac:dyDescent="0.25">
      <c r="A30" t="s">
        <v>31</v>
      </c>
      <c r="B30" s="11">
        <v>3281000000</v>
      </c>
    </row>
    <row r="31" spans="1:2" x14ac:dyDescent="0.25">
      <c r="A31" t="s">
        <v>32</v>
      </c>
      <c r="B31" s="13">
        <v>554067227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-0.18633068257661967</v>
      </c>
      <c r="C5" s="10">
        <f>Assumptions!B6</f>
        <v>-0.18633068257661967</v>
      </c>
      <c r="D5" s="10">
        <f>Assumptions!B6</f>
        <v>-0.18633068257661967</v>
      </c>
      <c r="E5" s="10">
        <f>Assumptions!B6</f>
        <v>-0.18633068257661967</v>
      </c>
      <c r="F5" s="10">
        <f>Assumptions!B6</f>
        <v>-0.18633068257661967</v>
      </c>
    </row>
    <row r="6" spans="1:6" x14ac:dyDescent="0.25">
      <c r="A6" t="s">
        <v>43</v>
      </c>
      <c r="B6" s="18">
        <f>Assumptions!B29*(1+B5)</f>
        <v>12794136347.165232</v>
      </c>
      <c r="C6" s="18">
        <f>B6*(1+C5)</f>
        <v>10410196188.619595</v>
      </c>
      <c r="D6" s="18">
        <f>C6*(1+D5)</f>
        <v>8470457227.037581</v>
      </c>
      <c r="E6" s="18">
        <f>D6*(1+E5)</f>
        <v>6892151150.187608</v>
      </c>
      <c r="F6" s="18">
        <f>E6*(1+F5)</f>
        <v>5607931921.951917</v>
      </c>
    </row>
    <row r="7" spans="1:6" x14ac:dyDescent="0.25">
      <c r="A7" t="s">
        <v>5</v>
      </c>
      <c r="B7" s="10">
        <f>Assumptions!B7</f>
        <v>0.13514384255377826</v>
      </c>
      <c r="C7" s="10">
        <f>Assumptions!B7</f>
        <v>0.13514384255377826</v>
      </c>
      <c r="D7" s="10">
        <f>Assumptions!B7</f>
        <v>0.13514384255377826</v>
      </c>
      <c r="E7" s="10">
        <f>Assumptions!B7</f>
        <v>0.13514384255377826</v>
      </c>
      <c r="F7" s="10">
        <f>Assumptions!B7</f>
        <v>0.13514384255377826</v>
      </c>
    </row>
    <row r="8" spans="1:6" x14ac:dyDescent="0.25">
      <c r="A8" t="s">
        <v>44</v>
      </c>
      <c r="B8" s="18">
        <f>B6*B7</f>
        <v>1729048748.1128697</v>
      </c>
      <c r="C8" s="18">
        <f>C6*C7</f>
        <v>1406873914.668749</v>
      </c>
      <c r="D8" s="18">
        <f>D6*D7</f>
        <v>1144730137.84928</v>
      </c>
      <c r="E8" s="18">
        <f>E6*E7</f>
        <v>931431789.8977958</v>
      </c>
      <c r="F8" s="18">
        <f>F6*F7</f>
        <v>757877468.712577</v>
      </c>
    </row>
    <row r="9" spans="1:6" x14ac:dyDescent="0.25">
      <c r="A9" t="s">
        <v>45</v>
      </c>
      <c r="B9" s="18">
        <f>B8*(1-Assumptions!B8)</f>
        <v>1469691435.8959394</v>
      </c>
      <c r="C9" s="18">
        <f>C8*(1-Assumptions!B8)</f>
        <v>1195842827.4684367</v>
      </c>
      <c r="D9" s="18">
        <f>D8*(1-Assumptions!B8)</f>
        <v>973020617.1718881</v>
      </c>
      <c r="E9" s="18">
        <f>E8*(1-Assumptions!B8)</f>
        <v>791717021.4131263</v>
      </c>
      <c r="F9" s="18">
        <f>F8*(1-Assumptions!B8)</f>
        <v>644195848.4056904</v>
      </c>
    </row>
    <row r="10" spans="1:6" x14ac:dyDescent="0.25">
      <c r="A10" t="s">
        <v>46</v>
      </c>
      <c r="B10" s="18">
        <f>B6*Assumptions!B9</f>
        <v>1094804094.8596876</v>
      </c>
      <c r="C10" s="18">
        <f>C6*Assumptions!B9</f>
        <v>890808500.5768037</v>
      </c>
      <c r="D10" s="18">
        <f>D6*Assumptions!B9</f>
        <v>724823544.6192727</v>
      </c>
      <c r="E10" s="18">
        <f>E6*Assumptions!B9</f>
        <v>589766678.8027587</v>
      </c>
      <c r="F10" s="18">
        <f>F6*Assumptions!B9</f>
        <v>479875050.9804947</v>
      </c>
    </row>
    <row r="11" spans="1:6" x14ac:dyDescent="0.25">
      <c r="A11" t="s">
        <v>47</v>
      </c>
      <c r="B11" s="18">
        <f>-B6*Assumptions!B10</f>
        <v>-778004224.8052716</v>
      </c>
      <c r="C11" s="18">
        <f>-C6*Assumptions!B10</f>
        <v>-633038166.5498115</v>
      </c>
      <c r="D11" s="18">
        <f>-D6*Assumptions!B10</f>
        <v>-515083732.8795333</v>
      </c>
      <c r="E11" s="18">
        <f>-E6*Assumptions!B10</f>
        <v>-419107829.3479766</v>
      </c>
      <c r="F11" s="18">
        <f>-F6*Assumptions!B10</f>
        <v>-341015181.43236274</v>
      </c>
    </row>
    <row r="12" spans="1:6" x14ac:dyDescent="0.25">
      <c r="A12" t="s">
        <v>48</v>
      </c>
      <c r="B12" s="18">
        <f>-(B6-Assumptions!B29)*Assumptions!B11</f>
        <v>52861159.5394874</v>
      </c>
      <c r="C12" s="18">
        <f>-(C6-B6)*Assumptions!B11</f>
        <v>43011503.60070311</v>
      </c>
      <c r="D12" s="18">
        <f>-(D6-C6)*Assumptions!B11</f>
        <v>34997140.77613735</v>
      </c>
      <c r="E12" s="18">
        <f>-(E6-D6)*Assumptions!B11</f>
        <v>28476099.64708964</v>
      </c>
      <c r="F12" s="18">
        <f>-(F6-E6)*Assumptions!B11</f>
        <v>23170128.562727585</v>
      </c>
    </row>
    <row r="13" spans="1:6" x14ac:dyDescent="0.25">
      <c r="A13" s="19" t="s">
        <v>49</v>
      </c>
      <c r="B13" s="20">
        <f>B9+B10+B11+B12</f>
        <v>1839352465.4898424</v>
      </c>
      <c r="C13" s="20">
        <f>C9+C10+C11+C12</f>
        <v>1496624665.096132</v>
      </c>
      <c r="D13" s="20">
        <f>D9+D10+D11+D12</f>
        <v>1217757569.687765</v>
      </c>
      <c r="E13" s="20">
        <f>E9+E10+E11+E12</f>
        <v>990851970.5149981</v>
      </c>
      <c r="F13" s="20">
        <f>F9+F10+F11+F12</f>
        <v>806225846.51655</v>
      </c>
    </row>
    <row r="14" spans="1:6" x14ac:dyDescent="0.25">
      <c r="A14" t="s">
        <v>50</v>
      </c>
      <c r="B14" s="21">
        <f>1/(1+Assumptions!$B$26)^(1-0.5*Assumptions!$B$32)</f>
        <v>0.9776996325196576</v>
      </c>
      <c r="C14" s="21">
        <f>1/(1+Assumptions!$B$26)^(2-0.5*Assumptions!$B$32)</f>
        <v>0.9345797266130056</v>
      </c>
      <c r="D14" s="21">
        <f>1/(1+Assumptions!$B$26)^(3-0.5*Assumptions!$B$32)</f>
        <v>0.893361556396493</v>
      </c>
      <c r="E14" s="21">
        <f>1/(1+Assumptions!$B$26)^(4-0.5*Assumptions!$B$32)</f>
        <v>0.8539612488059485</v>
      </c>
      <c r="F14" s="21">
        <f>1/(1+Assumptions!$B$26)^(5-0.5*Assumptions!$B$32)</f>
        <v>0.8162986298668962</v>
      </c>
    </row>
    <row r="15" spans="1:6" x14ac:dyDescent="0.25">
      <c r="A15" s="19" t="s">
        <v>51</v>
      </c>
      <c r="B15" s="20">
        <f>B13*B14</f>
        <v>1798334229.5835452</v>
      </c>
      <c r="C15" s="20">
        <f>C13*C14</f>
        <v>1398715070.347824</v>
      </c>
      <c r="D15" s="20">
        <f>D13*D14</f>
        <v>1087897797.7698724</v>
      </c>
      <c r="E15" s="20">
        <f>E13*E14</f>
        <v>846149186.1228226</v>
      </c>
      <c r="F15" s="20">
        <f>F13*F14</f>
        <v>658121053.8747382</v>
      </c>
    </row>
    <row r="17" spans="1:2" x14ac:dyDescent="0.25">
      <c r="A17" s="22" t="s">
        <v>52</v>
      </c>
      <c r="B17" s="23">
        <f>SUM(B15:F15)</f>
        <v>5789217337.698803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806225846.51655</v>
      </c>
    </row>
    <row r="5" spans="1:2" x14ac:dyDescent="0.25">
      <c r="A5" t="s">
        <v>56</v>
      </c>
      <c r="B5" s="18">
        <f>IF(Assumptions!$B$33=0,B4,B4-Forecast!F11-Forecast!F10-Forecast!F12)</f>
        <v>644195848.4056904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0.3708769890162409</v>
      </c>
    </row>
    <row r="7" spans="1:2" x14ac:dyDescent="0.25">
      <c r="A7" t="s">
        <v>58</v>
      </c>
      <c r="B7" s="18">
        <f>-MAX(Forecast!F9,0)*B6</f>
        <v>-238917416.59346524</v>
      </c>
    </row>
    <row r="8" spans="1:2" x14ac:dyDescent="0.25">
      <c r="A8" t="s">
        <v>59</v>
      </c>
      <c r="B8" s="18">
        <f>IF(OR(Assumptions!$B$33=0,Assumptions!B12&lt;=0),B5,MAX(B5+B7,0))</f>
        <v>405278431.8122252</v>
      </c>
    </row>
    <row r="9" spans="1:2" x14ac:dyDescent="0.25">
      <c r="A9" t="s">
        <v>60</v>
      </c>
      <c r="B9" s="18">
        <f>B8*(1+Assumptions!B12)/(Assumptions!B26-Assumptions!B12)</f>
        <v>19652038468.58599</v>
      </c>
    </row>
    <row r="10" spans="1:2" x14ac:dyDescent="0.25">
      <c r="A10" t="s">
        <v>61</v>
      </c>
      <c r="B10" s="18">
        <f>B9/(1+Assumptions!B26)^(5-0.5*Assumptions!B32)</f>
        <v>16041932075.998281</v>
      </c>
    </row>
    <row r="11" spans="1:2" x14ac:dyDescent="0.25">
      <c r="A11" t="s">
        <v>62</v>
      </c>
      <c r="B11" s="18">
        <f>Forecast!B17+B10</f>
        <v>21831149413.697083</v>
      </c>
    </row>
    <row r="12" spans="1:2" x14ac:dyDescent="0.25">
      <c r="A12" t="s">
        <v>63</v>
      </c>
      <c r="B12" s="18">
        <f>-Assumptions!B30</f>
        <v>-3281000000</v>
      </c>
    </row>
    <row r="13" spans="1:2" x14ac:dyDescent="0.25">
      <c r="A13" t="s">
        <v>64</v>
      </c>
      <c r="B13" s="18">
        <f>B11+B12</f>
        <v>18550149413.697083</v>
      </c>
    </row>
    <row r="14" spans="1:2" x14ac:dyDescent="0.25">
      <c r="A14" s="19" t="s">
        <v>65</v>
      </c>
      <c r="B14" s="24">
        <f>B13/Assumptions!B31</f>
        <v>33.47996147351463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1237752519.6930716</v>
      </c>
    </row>
    <row r="18" spans="1:2" x14ac:dyDescent="0.25">
      <c r="A18" t="s">
        <v>60</v>
      </c>
      <c r="B18" s="18">
        <f>B17*Assumptions!B13</f>
        <v>14050489271.434086</v>
      </c>
    </row>
    <row r="19" spans="1:2" x14ac:dyDescent="0.25">
      <c r="A19" t="s">
        <v>61</v>
      </c>
      <c r="B19" s="18">
        <f>B18/(1+Assumptions!B26)^(5-0.5*Assumptions!B32)</f>
        <v>11469395141.231169</v>
      </c>
    </row>
    <row r="20" spans="1:2" x14ac:dyDescent="0.25">
      <c r="A20" t="s">
        <v>62</v>
      </c>
      <c r="B20" s="18">
        <f>Forecast!B17+B19</f>
        <v>17258612478.92997</v>
      </c>
    </row>
    <row r="21" spans="1:2" x14ac:dyDescent="0.25">
      <c r="A21" t="s">
        <v>63</v>
      </c>
      <c r="B21" s="18">
        <f>-Assumptions!B30</f>
        <v>-3281000000</v>
      </c>
    </row>
    <row r="22" spans="1:2" x14ac:dyDescent="0.25">
      <c r="A22" t="s">
        <v>64</v>
      </c>
      <c r="B22" s="18">
        <f>B20+B21</f>
        <v>13977612478.92997</v>
      </c>
    </row>
    <row r="23" spans="1:2" x14ac:dyDescent="0.25">
      <c r="A23" s="19" t="s">
        <v>65</v>
      </c>
      <c r="B23" s="25">
        <f>B22/Assumptions!B31</f>
        <v>25.227286144700937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67.56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33.47996147351463</v>
      </c>
    </row>
    <row r="29" spans="1:2" x14ac:dyDescent="0.25">
      <c r="A29" s="19" t="s">
        <v>73</v>
      </c>
      <c r="B29" s="12">
        <f>B28/B26-1</f>
        <v>-0.5044410675915538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0.026138</v>
      </c>
      <c r="B5" s="31">
        <v>78.28977648027927</v>
      </c>
      <c r="C5" s="31">
        <v>125.93220528937677</v>
      </c>
      <c r="D5" s="31">
        <v>591.5503943182644</v>
      </c>
      <c r="E5" s="31" t="s">
        <v>76</v>
      </c>
      <c r="F5" s="31" t="s">
        <v>76</v>
      </c>
    </row>
    <row r="6" spans="1:6" x14ac:dyDescent="0.25">
      <c r="A6" s="30">
        <v>0.036138</v>
      </c>
      <c r="B6" s="31">
        <v>41.72837919621637</v>
      </c>
      <c r="C6" s="31">
        <v>48.7836514684515</v>
      </c>
      <c r="D6" s="31">
        <v>62.107341781053634</v>
      </c>
      <c r="E6" s="31">
        <v>97.01816479767626</v>
      </c>
      <c r="F6" s="31">
        <v>438.05653401595396</v>
      </c>
    </row>
    <row r="7" spans="1:6" x14ac:dyDescent="0.25">
      <c r="A7" s="30">
        <v>0.046138</v>
      </c>
      <c r="B7" s="31">
        <v>28.579752955426933</v>
      </c>
      <c r="C7" s="31">
        <v>30.57481230045915</v>
      </c>
      <c r="D7" s="32">
        <v>33.48039326330796</v>
      </c>
      <c r="E7" s="31">
        <v>38.14281039765097</v>
      </c>
      <c r="F7" s="31">
        <v>46.92806680749365</v>
      </c>
    </row>
    <row r="8" spans="1:6" x14ac:dyDescent="0.25">
      <c r="A8" s="30">
        <v>0.056138</v>
      </c>
      <c r="B8" s="31">
        <v>21.77280968591181</v>
      </c>
      <c r="C8" s="31">
        <v>22.38026809726335</v>
      </c>
      <c r="D8" s="31">
        <v>23.161151232591312</v>
      </c>
      <c r="E8" s="31">
        <v>24.21498357194951</v>
      </c>
      <c r="F8" s="31">
        <v>25.73545600664524</v>
      </c>
    </row>
    <row r="9" spans="1:6" x14ac:dyDescent="0.25">
      <c r="A9" s="30">
        <v>0.066138</v>
      </c>
      <c r="B9" s="31">
        <v>17.58927999458751</v>
      </c>
      <c r="C9" s="31">
        <v>17.69102160965742</v>
      </c>
      <c r="D9" s="31">
        <v>17.80178010401538</v>
      </c>
      <c r="E9" s="31">
        <v>17.92529816373481</v>
      </c>
      <c r="F9" s="31">
        <v>18.06772240967838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77</v>
      </c>
    </row>
    <row r="2" spans="1:1" x14ac:dyDescent="0.25">
      <c r="A2" s="3" t="s">
        <v>78</v>
      </c>
    </row>
    <row r="4" spans="1:6" x14ac:dyDescent="0.25">
      <c r="A4" s="16" t="s">
        <v>79</v>
      </c>
      <c r="B4" s="17" t="s">
        <v>80</v>
      </c>
      <c r="C4" s="17" t="s">
        <v>81</v>
      </c>
      <c r="D4" s="17" t="s">
        <v>82</v>
      </c>
      <c r="E4" s="17" t="s">
        <v>83</v>
      </c>
      <c r="F4" s="33" t="s">
        <v>84</v>
      </c>
    </row>
    <row r="5" spans="1:6" x14ac:dyDescent="0.25">
      <c r="A5" t="s">
        <v>43</v>
      </c>
      <c r="B5" s="18">
        <v>15724000000</v>
      </c>
      <c r="C5" s="18">
        <v>16201000000</v>
      </c>
      <c r="D5" s="18">
        <v>27009000000</v>
      </c>
      <c r="E5" s="18">
        <v>29189000000</v>
      </c>
      <c r="F5" s="8" t="s">
        <v>85</v>
      </c>
    </row>
    <row r="6" spans="1:6" x14ac:dyDescent="0.25">
      <c r="A6" t="s">
        <v>44</v>
      </c>
      <c r="B6" s="18">
        <v>2230000000</v>
      </c>
      <c r="C6" s="18">
        <v>2298000000</v>
      </c>
      <c r="D6" s="18">
        <v>4274000000</v>
      </c>
      <c r="E6" s="18">
        <v>2880000000</v>
      </c>
      <c r="F6" s="8" t="s">
        <v>86</v>
      </c>
    </row>
    <row r="7" spans="1:6" x14ac:dyDescent="0.25">
      <c r="A7" t="s">
        <v>87</v>
      </c>
      <c r="B7" s="18">
        <v>1351000000</v>
      </c>
      <c r="C7" s="18">
        <v>1329000000</v>
      </c>
      <c r="D7" s="18">
        <v>2076000000</v>
      </c>
      <c r="E7" s="18">
        <v>2845000000</v>
      </c>
      <c r="F7" s="8" t="s">
        <v>88</v>
      </c>
    </row>
    <row r="8" spans="1:6" x14ac:dyDescent="0.25">
      <c r="A8" t="s">
        <v>89</v>
      </c>
      <c r="B8" s="18">
        <v>1061000000</v>
      </c>
      <c r="C8" s="18">
        <v>1085000000</v>
      </c>
      <c r="D8" s="18">
        <v>1505000000</v>
      </c>
      <c r="E8" s="18">
        <v>1549000000</v>
      </c>
      <c r="F8" s="8" t="s">
        <v>90</v>
      </c>
    </row>
    <row r="9" spans="1:6" x14ac:dyDescent="0.25">
      <c r="A9" t="s">
        <v>91</v>
      </c>
      <c r="B9" s="18">
        <v>13000000</v>
      </c>
      <c r="C9" s="18">
        <v>-195000000</v>
      </c>
      <c r="D9" s="18">
        <v>-152000000</v>
      </c>
      <c r="E9" s="18">
        <v>325000000</v>
      </c>
      <c r="F9" s="8" t="s">
        <v>92</v>
      </c>
    </row>
    <row r="10" spans="1:6" x14ac:dyDescent="0.25">
      <c r="A10" t="s">
        <v>93</v>
      </c>
      <c r="B10" s="18">
        <v>8724000000</v>
      </c>
      <c r="C10" s="18">
        <v>12922000000</v>
      </c>
      <c r="D10" s="18">
        <v>13119000000</v>
      </c>
      <c r="E10" s="18">
        <v>14910000000</v>
      </c>
      <c r="F10" s="8" t="s">
        <v>94</v>
      </c>
    </row>
    <row r="11" spans="1:6" x14ac:dyDescent="0.25">
      <c r="A11" t="s">
        <v>95</v>
      </c>
      <c r="B11" s="18">
        <v>5443000000</v>
      </c>
      <c r="C11" s="18">
        <v>5352000000</v>
      </c>
      <c r="D11" s="18">
        <v>6087000000</v>
      </c>
      <c r="E11" s="18">
        <v>9830000000</v>
      </c>
      <c r="F11" s="8" t="s">
        <v>96</v>
      </c>
    </row>
    <row r="12" spans="1:6" x14ac:dyDescent="0.25">
      <c r="A12" t="s">
        <v>32</v>
      </c>
      <c r="B12" s="34">
        <v>554067227</v>
      </c>
      <c r="C12" s="34">
        <v>559993317</v>
      </c>
      <c r="D12" s="34">
        <v>569240835</v>
      </c>
      <c r="E12" s="34">
        <v>602227449</v>
      </c>
      <c r="F12" s="8" t="s">
        <v>97</v>
      </c>
    </row>
    <row r="15" spans="1:1" x14ac:dyDescent="0.25">
      <c r="A15" s="19" t="s">
        <v>98</v>
      </c>
    </row>
    <row r="16" ht="22" customHeight="1" spans="1:6" x14ac:dyDescent="0.25">
      <c r="A16" s="35" t="s">
        <v>99</v>
      </c>
      <c r="B16" s="35"/>
      <c r="C16" s="35"/>
      <c r="D16" s="35"/>
      <c r="E16" s="35"/>
      <c r="F16" s="35"/>
    </row>
    <row r="18" spans="1:1" x14ac:dyDescent="0.25">
      <c r="A18" s="36" t="s">
        <v>100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2026-09-19T01:04:46Z</dcterms:modified>
</cp:coreProperties>
</file>