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<sst xmlns="http://schemas.openxmlformats.org/spreadsheetml/2006/main" count="119" uniqueCount="106">
  <si>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Honeywell International Inc. (HON)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</si>
  <si>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</si>
  <si>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</si>
  <si>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</si>
  <si>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</si>
  <si>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</si>
  <si>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</si>
  <si>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</si>
  <si>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</si>
  <si>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</si>
  <si>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</si>
  <si>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</si>
  <si>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</si>
  <si>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</si>
  <si>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</si>
  <si>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</si>
  <si>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</si>
  <si>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</si>
  <si>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</si>
  <si>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</si>
  <si>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</si>
  <si>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</si>
  <si>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</si>
  <si>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</si>
  <si>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4.9x interest cover. Book interest / average debt was lower, at 4.0%.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</si>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</sst>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-0.46169532263233803</v>
      </c>
    </row>
    <row r="7" spans="1:2" x14ac:dyDescent="0.25">
      <c r="A7" t="s">
        <v>4</v>
      </c>
      <c r="B7" s="5">
        <v>0.18344385103315342</v>
      </c>
    </row>
    <row r="8" spans="1:2" x14ac:dyDescent="0.25">
      <c r="A8" t="s">
        <v>5</v>
      </c>
      <c r="B8" s="5">
        <v>0.20193816042402482</v>
      </c>
    </row>
    <row r="9" spans="1:2" x14ac:dyDescent="0.25">
      <c r="A9" t="s">
        <v>6</v>
      </c>
      <c r="B9" s="5">
        <v>0.03365430341772246</v>
      </c>
    </row>
    <row r="10" spans="1:3" x14ac:dyDescent="0.25">
      <c r="A10" t="s">
        <v>7</v>
      </c>
      <c r="B10" s="5">
        <v>0.0238673025428092</v>
      </c>
      <c r="C10" s="6" t="s">
        <v>8</v>
      </c>
    </row>
    <row r="11" spans="1:2" x14ac:dyDescent="0.25">
      <c r="A11" t="s">
        <v>9</v>
      </c>
      <c r="B11" s="5">
        <v>0.20085958890932865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11.543747668636078</v>
      </c>
    </row>
    <row r="14" spans="1:3" x14ac:dyDescent="0.25">
      <c r="A14" t="s">
        <v>12</v>
      </c>
      <c r="B14" s="5">
        <v>0.12121399822229073</v>
      </c>
      <c r="C14" s="6" t="s">
        <v>13</v>
      </c>
    </row>
    <row r="15" spans="1:3" x14ac:dyDescent="0.25">
      <c r="A15" t="s">
        <v>14</v>
      </c>
      <c r="B15" s="5">
        <v>0.015538077694400979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0.92496</v>
      </c>
      <c r="C19" s="6" t="s">
        <v>21</v>
      </c>
    </row>
    <row r="20" spans="1:2" x14ac:dyDescent="0.25">
      <c r="A20" t="s">
        <v>22</v>
      </c>
      <c r="B20" s="9">
        <f>B17+B19*B18</f>
        <v>0.088065808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69197512704</v>
      </c>
    </row>
    <row r="23" spans="1:2" x14ac:dyDescent="0.25">
      <c r="A23" t="s">
        <v>26</v>
      </c>
      <c r="B23" s="10">
        <v>35563000000</v>
      </c>
    </row>
    <row r="24" spans="1:2" x14ac:dyDescent="0.25">
      <c r="A24" t="s">
        <v>27</v>
      </c>
      <c r="B24" s="9">
        <f>B22/(B22+B23)</f>
        <v>0.6605304891883932</v>
      </c>
    </row>
    <row r="25" spans="1:2" x14ac:dyDescent="0.25">
      <c r="A25" t="s">
        <v>28</v>
      </c>
      <c r="B25" s="9">
        <f>1-B24</f>
        <v>0.3394695108116068</v>
      </c>
    </row>
    <row r="26" spans="1:2" x14ac:dyDescent="0.25">
      <c r="A26" t="s">
        <v>29</v>
      </c>
      <c r="B26" s="11">
        <f>B24*B20+B25*B21*(1-B8)</f>
        <v>0.07354201939668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37442000000</v>
      </c>
      <c r="C29" s="6" t="s">
        <v>32</v>
      </c>
    </row>
    <row r="30" spans="1:2" x14ac:dyDescent="0.25">
      <c r="A30" t="s">
        <v>33</v>
      </c>
      <c r="B30" s="10">
        <v>22633000000</v>
      </c>
    </row>
    <row r="31" spans="1:2" x14ac:dyDescent="0.25">
      <c r="A31" t="s">
        <v>34</v>
      </c>
      <c r="B31" s="12">
        <v>321400000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-0.46169532263233803</v>
      </c>
      <c r="C5" s="5">
        <v>0.017456025982824475</v>
      </c>
      <c r="D5" s="5">
        <v>0.018399022734971415</v>
      </c>
      <c r="E5" s="5">
        <v>0.019342019487118355</v>
      </c>
      <c r="F5" s="5">
        <v>0.020285016239265298</v>
      </c>
      <c r="G5" s="5">
        <v>0.021228012991412238</v>
      </c>
      <c r="H5" s="5">
        <v>0.022171009743559178</v>
      </c>
      <c r="I5" s="5">
        <v>0.02311400649570612</v>
      </c>
      <c r="J5" s="5">
        <v>0.02405700324785306</v>
      </c>
      <c r="K5" s="5">
        <v>0.025</v>
      </c>
    </row>
    <row r="6" spans="1:11" x14ac:dyDescent="0.25">
      <c r="A6" t="s">
        <v>50</v>
      </c>
      <c r="B6" s="18">
        <f>Assumptions!B29*(1+B5)</f>
        <v>20155203730</v>
      </c>
      <c r="C6" s="18">
        <f>B6*(1+C5)</f>
        <v>20507033490</v>
      </c>
      <c r="D6" s="18">
        <f>C6*(1+D5)</f>
        <v>20884342865.409332</v>
      </c>
      <c r="E6" s="18">
        <f>D6*(1+E5)</f>
        <v>21288288232.08774</v>
      </c>
      <c r="F6" s="18">
        <f>E6*(1+F5)</f>
        <v>21720121504.581802</v>
      </c>
      <c r="G6" s="18">
        <f>F6*(1+G5)</f>
        <v>22181196526.056118</v>
      </c>
      <c r="H6" s="18">
        <f>G6*(1+H5)</f>
        <v>22672976050.35911</v>
      </c>
      <c r="I6" s="18">
        <f>H6*(1+I5)</f>
        <v>23197039366.0641</v>
      </c>
      <c r="J6" s="18">
        <f>I6*(1+J5)</f>
        <v>23755090617.43408</v>
      </c>
      <c r="K6" s="18">
        <f>J6*(1+K5)</f>
        <v>24348967882.869926</v>
      </c>
    </row>
    <row r="7" spans="1:11" x14ac:dyDescent="0.25">
      <c r="A7" t="s">
        <v>4</v>
      </c>
      <c r="B7" s="9">
        <f>Assumptions!B7</f>
        <v>0.18344385103315342</v>
      </c>
      <c r="C7" s="9">
        <f>Assumptions!B7</f>
        <v>0.18344385103315342</v>
      </c>
      <c r="D7" s="9">
        <f>Assumptions!B7</f>
        <v>0.18344385103315342</v>
      </c>
      <c r="E7" s="9">
        <f>Assumptions!B7</f>
        <v>0.18344385103315342</v>
      </c>
      <c r="F7" s="9">
        <f>Assumptions!B7</f>
        <v>0.18344385103315342</v>
      </c>
      <c r="G7" s="9">
        <f>Assumptions!B7</f>
        <v>0.18344385103315342</v>
      </c>
      <c r="H7" s="9">
        <f>Assumptions!B7</f>
        <v>0.18344385103315342</v>
      </c>
      <c r="I7" s="9">
        <f>Assumptions!B7</f>
        <v>0.18344385103315342</v>
      </c>
      <c r="J7" s="9">
        <f>Assumptions!B7</f>
        <v>0.18344385103315342</v>
      </c>
      <c r="K7" s="9">
        <f>Assumptions!B7</f>
        <v>0.18344385103315342</v>
      </c>
    </row>
    <row r="8" spans="1:11" x14ac:dyDescent="0.25">
      <c r="A8" t="s">
        <v>51</v>
      </c>
      <c r="B8" s="18">
        <f>B6*B7</f>
        <v>3697348190.5889783</v>
      </c>
      <c r="C8" s="18">
        <f>C6*C7</f>
        <v>3761889196.671448</v>
      </c>
      <c r="D8" s="18">
        <f>D6*D7</f>
        <v>3831104281.52745</v>
      </c>
      <c r="E8" s="18">
        <f>E6*E7</f>
        <v>3905205575.1979365</v>
      </c>
      <c r="F8" s="18">
        <f>F6*F7</f>
        <v>3984422733.708496</v>
      </c>
      <c r="G8" s="18">
        <f>G6*G7</f>
        <v>4069004111.2629385</v>
      </c>
      <c r="H8" s="18">
        <f>H6*H7</f>
        <v>4159218041.060332</v>
      </c>
      <c r="I8" s="18">
        <f>I6*I7</f>
        <v>4255354233.878458</v>
      </c>
      <c r="J8" s="18">
        <f>J6*J7</f>
        <v>4357725304.503637</v>
      </c>
      <c r="K8" s="18">
        <f>K6*K7</f>
        <v>4466668437.116228</v>
      </c>
    </row>
    <row r="9" spans="1:11" x14ac:dyDescent="0.25">
      <c r="A9" t="s">
        <v>52</v>
      </c>
      <c r="B9" s="18">
        <f>B8*(1-Assumptions!B8)</f>
        <v>2950712498.5343432</v>
      </c>
      <c r="C9" s="18">
        <f>C8*(1-Assumptions!B8)</f>
        <v>3002220212.5766034</v>
      </c>
      <c r="D9" s="18">
        <f>D8*(1-Assumptions!B8)</f>
        <v>3057458130.5231915</v>
      </c>
      <c r="E9" s="18">
        <f>E8*(1-Assumptions!B8)</f>
        <v>3116595545.2648196</v>
      </c>
      <c r="F9" s="18">
        <f>F8*(1-Assumptions!B8)</f>
        <v>3179815736.5117383</v>
      </c>
      <c r="G9" s="18">
        <f>G8*(1-Assumptions!B8)</f>
        <v>3247316906.2767067</v>
      </c>
      <c r="H9" s="18">
        <f>H8*(1-Assumptions!B8)</f>
        <v>3319313201.046192</v>
      </c>
      <c r="I9" s="18">
        <f>I8*(1-Assumptions!B8)</f>
        <v>3396035827.9364567</v>
      </c>
      <c r="J9" s="18">
        <f>J8*(1-Assumptions!B8)</f>
        <v>3477734272.8789496</v>
      </c>
      <c r="K9" s="18">
        <f>K8*(1-Assumptions!B8)</f>
        <v>3564677629.700923</v>
      </c>
    </row>
    <row r="10" spans="1:11" x14ac:dyDescent="0.25">
      <c r="A10" t="s">
        <v>53</v>
      </c>
      <c r="B10" s="18">
        <f>B6*Assumptions!B9</f>
        <v>678309341.7754314</v>
      </c>
      <c r="C10" s="18">
        <f>C6*Assumptions!B9</f>
        <v>690149927.2698559</v>
      </c>
      <c r="D10" s="18">
        <f>D6*Assumptions!B9</f>
        <v>702848011.4722329</v>
      </c>
      <c r="E10" s="18">
        <f>E6*Assumptions!B9</f>
        <v>716442511.4066112</v>
      </c>
      <c r="F10" s="18">
        <f>F6*Assumptions!B9</f>
        <v>730975559.3849944</v>
      </c>
      <c r="G10" s="18">
        <f>G6*Assumptions!B9</f>
        <v>746492718.056024</v>
      </c>
      <c r="H10" s="18">
        <f>H6*Assumptions!B9</f>
        <v>763043215.3815401</v>
      </c>
      <c r="I10" s="18">
        <f>I6*Assumptions!B9</f>
        <v>780680201.2183734</v>
      </c>
      <c r="J10" s="18">
        <f>J6*Assumptions!B9</f>
        <v>799461027.3546184</v>
      </c>
      <c r="K10" s="18">
        <f>K6*Assumptions!B9</f>
        <v>819447553.0384837</v>
      </c>
    </row>
    <row r="11" spans="1:11" x14ac:dyDescent="0.25">
      <c r="A11" t="s">
        <v>54</v>
      </c>
      <c r="B11" s="18">
        <f>-B6*B19</f>
        <v>-481050345.2358665</v>
      </c>
      <c r="C11" s="18">
        <f>-C6*C19</f>
        <v>-546063165.7691946</v>
      </c>
      <c r="D11" s="18">
        <f>-D6*D19</f>
        <v>-613767459.1653416</v>
      </c>
      <c r="E11" s="18">
        <f>-E6*E19</f>
        <v>-684411434.0547338</v>
      </c>
      <c r="F11" s="18">
        <f>-F6*F19</f>
        <v>-758259404.406354</v>
      </c>
      <c r="G11" s="18">
        <f>-G6*G19</f>
        <v>-835593349.0552183</v>
      </c>
      <c r="H11" s="18">
        <f>-H6*H19</f>
        <v>-916714601.0185721</v>
      </c>
      <c r="I11" s="18">
        <f>-I6*I19</f>
        <v>-1001945680.1968769</v>
      </c>
      <c r="J11" s="18">
        <f>-J6*J19</f>
        <v>-1091632284.3911738</v>
      </c>
      <c r="K11" s="18">
        <f>-K6*K19</f>
        <v>-1186145455.055372</v>
      </c>
    </row>
    <row r="12" spans="1:11" x14ac:dyDescent="0.25">
      <c r="A12" t="s">
        <v>55</v>
      </c>
      <c r="B12" s="18">
        <f>-(B6-Assumptions!B29)*Assumptions!B11</f>
        <v>3472218792.351516</v>
      </c>
      <c r="C12" s="18">
        <f>-(C6-B6)*Assumptions!B11</f>
        <v>-70668380.95966776</v>
      </c>
      <c r="D12" s="18">
        <f>-(D6-C6)*Assumptions!B11</f>
        <v>-75786206.03635404</v>
      </c>
      <c r="E12" s="18">
        <f>-(E6-D6)*Assumptions!B11</f>
        <v>-81136300.29285337</v>
      </c>
      <c r="F12" s="18">
        <f>-(F6-E6)*Assumptions!B11</f>
        <v>-86737853.59052709</v>
      </c>
      <c r="G12" s="18">
        <f>-(G6-F6)*Assumptions!B11</f>
        <v>-92611339.26969092</v>
      </c>
      <c r="H12" s="18">
        <f>-(H6-G6)*Assumptions!B11</f>
        <v>-98778633.08552453</v>
      </c>
      <c r="I12" s="18">
        <f>-(I6-H6)*Assumptions!B11</f>
        <v>-105263142.15496331</v>
      </c>
      <c r="J12" s="18">
        <f>-(J6-I6)*Assumptions!B11</f>
        <v>-112089944.94051059</v>
      </c>
      <c r="K12" s="18">
        <f>-(K6-J6)*Assumptions!B11</f>
        <v>-119285943.39804073</v>
      </c>
    </row>
    <row r="13" spans="1:11" x14ac:dyDescent="0.25">
      <c r="A13" s="19" t="s">
        <v>56</v>
      </c>
      <c r="B13" s="20">
        <f>B9+B10+B11+B12</f>
        <v>6620190287.425424</v>
      </c>
      <c r="C13" s="20">
        <f>C9+C10+C11+C12</f>
        <v>3075638593.117597</v>
      </c>
      <c r="D13" s="20">
        <f>D9+D10+D11+D12</f>
        <v>3070752476.793729</v>
      </c>
      <c r="E13" s="20">
        <f>E9+E10+E11+E12</f>
        <v>3067490322.3238435</v>
      </c>
      <c r="F13" s="20">
        <f>F9+F10+F11+F12</f>
        <v>3065794037.899852</v>
      </c>
      <c r="G13" s="20">
        <f>G9+G10+G11+G12</f>
        <v>3065604936.0078216</v>
      </c>
      <c r="H13" s="20">
        <f>H9+H10+H11+H12</f>
        <v>3066863182.323636</v>
      </c>
      <c r="I13" s="20">
        <f>I9+I10+I11+I12</f>
        <v>3069507206.8029895</v>
      </c>
      <c r="J13" s="20">
        <f>J9+J10+J11+J12</f>
        <v>3073473070.9018836</v>
      </c>
      <c r="K13" s="20">
        <f>K9+K10+K11+K12</f>
        <v>3078693784.2859936</v>
      </c>
    </row>
    <row r="14" spans="1:11" x14ac:dyDescent="0.25">
      <c r="A14" t="s">
        <v>57</v>
      </c>
      <c r="B14" s="21">
        <f>1/(1+Assumptions!$B$26)^(1-0.5*Assumptions!$B$32)</f>
        <v>0.9651403575325777</v>
      </c>
      <c r="C14" s="21">
        <f>1/(1+Assumptions!$B$26)^(2-0.5*Assumptions!$B$32)</f>
        <v>0.8990242953647747</v>
      </c>
      <c r="D14" s="21">
        <f>1/(1+Assumptions!$B$26)^(3-0.5*Assumptions!$B$32)</f>
        <v>0.8374374538874756</v>
      </c>
      <c r="E14" s="21">
        <f>1/(1+Assumptions!$B$26)^(4-0.5*Assumptions!$B$32)</f>
        <v>0.780069562957682</v>
      </c>
      <c r="F14" s="21">
        <f>1/(1+Assumptions!$B$26)^(5-0.5*Assumptions!$B$32)</f>
        <v>0.7266316072062772</v>
      </c>
      <c r="G14" s="21">
        <f>1/(1+Assumptions!$B$26)^(6-0.5*Assumptions!$B$32)</f>
        <v>0.6768543699990774</v>
      </c>
      <c r="H14" s="21">
        <f>1/(1+Assumptions!$B$26)^(7-0.5*Assumptions!$B$32)</f>
        <v>0.6304870771425071</v>
      </c>
      <c r="I14" s="21">
        <f>1/(1+Assumptions!$B$26)^(8-0.5*Assumptions!$B$32)</f>
        <v>0.5872961335009826</v>
      </c>
      <c r="J14" s="21">
        <f>1/(1+Assumptions!$B$26)^(9-0.5*Assumptions!$B$32)</f>
        <v>0.5470639461611733</v>
      </c>
      <c r="K14" s="21">
        <f>1/(1+Assumptions!$B$26)^(10-0.5*Assumptions!$B$32)</f>
        <v>0.5095878282143235</v>
      </c>
    </row>
    <row r="15" spans="1:11" x14ac:dyDescent="0.25">
      <c r="A15" s="19" t="s">
        <v>58</v>
      </c>
      <c r="B15" s="20">
        <f>B13*B14</f>
        <v>6389412820.939471</v>
      </c>
      <c r="C15" s="20">
        <f>C13*C14</f>
        <v>2765073818.9742546</v>
      </c>
      <c r="D15" s="20">
        <f>D13*D14</f>
        <v>2571563135.6847997</v>
      </c>
      <c r="E15" s="20">
        <f>E13*E14</f>
        <v>2392855835.1120796</v>
      </c>
      <c r="F15" s="20">
        <f>F13*F14</f>
        <v>2227702849.1225915</v>
      </c>
      <c r="G15" s="20">
        <f>G13*G14</f>
        <v>2074968097.6276362</v>
      </c>
      <c r="H15" s="20">
        <f>H13*H14</f>
        <v>1933617603.819197</v>
      </c>
      <c r="I15" s="20">
        <f>I13*I14</f>
        <v>1802709714.308797</v>
      </c>
      <c r="J15" s="20">
        <f>J13*J14</f>
        <v>1681386306.587684</v>
      </c>
      <c r="K15" s="20">
        <f>K13*K14</f>
        <v>1568864879.2712364</v>
      </c>
    </row>
    <row r="17" spans="1:2" x14ac:dyDescent="0.25">
      <c r="A17" s="22" t="s">
        <v>59</v>
      </c>
      <c r="B17" s="23">
        <f>SUM(B15:K15)</f>
        <v>25408155061.44775</v>
      </c>
    </row>
    <row r="19" spans="1:11" x14ac:dyDescent="0.25">
      <c r="A19" t="s">
        <v>7</v>
      </c>
      <c r="B19" s="9">
        <f>Assumptions!$B$10+($B$20-Assumptions!$B$10)*0/9</f>
        <v>0.0238673025428092</v>
      </c>
      <c r="C19" s="9">
        <f>Assumptions!$B$10+($B$20-Assumptions!$B$10)*1/9</f>
        <v>0.02662809157821269</v>
      </c>
      <c r="D19" s="9">
        <f>Assumptions!$B$10+($B$20-Assumptions!$B$10)*2/9</f>
        <v>0.029388880613616178</v>
      </c>
      <c r="E19" s="9">
        <f>Assumptions!$B$10+($B$20-Assumptions!$B$10)*3/9</f>
        <v>0.03214966964901966</v>
      </c>
      <c r="F19" s="9">
        <f>Assumptions!$B$10+($B$20-Assumptions!$B$10)*4/9</f>
        <v>0.034910458684423155</v>
      </c>
      <c r="G19" s="9">
        <f>Assumptions!$B$10+($B$20-Assumptions!$B$10)*5/9</f>
        <v>0.03767124771982665</v>
      </c>
      <c r="H19" s="9">
        <f>Assumptions!$B$10+($B$20-Assumptions!$B$10)*6/9</f>
        <v>0.04043203675523013</v>
      </c>
      <c r="I19" s="9">
        <f>Assumptions!$B$10+($B$20-Assumptions!$B$10)*7/9</f>
        <v>0.043192825790633625</v>
      </c>
      <c r="J19" s="9">
        <f>Assumptions!$B$10+($B$20-Assumptions!$B$10)*8/9</f>
        <v>0.04595361482603712</v>
      </c>
      <c r="K19" s="9">
        <f>Assumptions!$B$10+($B$20-Assumptions!$B$10)*9/9</f>
        <v>0.0487144038614406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0.0487144038614406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3078693784.2859936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3916711803.682941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0.20624680619934052</v>
      </c>
    </row>
    <row r="7" spans="1:2" x14ac:dyDescent="0.25">
      <c r="A7" t="s">
        <v>66</v>
      </c>
      <c r="B7" s="18">
        <f>-MAX(B5,0)*B6</f>
        <v>-807809300.312865</v>
      </c>
    </row>
    <row r="8" spans="1:2" x14ac:dyDescent="0.25">
      <c r="A8" t="s">
        <v>67</v>
      </c>
      <c r="B8" s="18">
        <f>IF(OR(Assumptions!$B$33=0,Assumptions!B12&lt;=0),B5,MAX(B5+B7,0))</f>
        <v>3108902503.370076</v>
      </c>
    </row>
    <row r="9" spans="1:2" x14ac:dyDescent="0.25">
      <c r="A9" t="s">
        <v>68</v>
      </c>
      <c r="B9" s="18">
        <f>B8*(1+Assumptions!B12)/(Assumptions!B26-Assumptions!B12)</f>
        <v>65646734634.45312</v>
      </c>
    </row>
    <row r="10" spans="1:2" x14ac:dyDescent="0.25">
      <c r="A10" t="s">
        <v>69</v>
      </c>
      <c r="B10" s="18">
        <f>B9/(1+Assumptions!B26)^(10-0.5*Assumptions!B32)</f>
        <v>33452776931.732975</v>
      </c>
    </row>
    <row r="11" spans="1:2" x14ac:dyDescent="0.25">
      <c r="A11" t="s">
        <v>70</v>
      </c>
      <c r="B11" s="18">
        <f>Forecast!B17+B10</f>
        <v>58860931993.180725</v>
      </c>
    </row>
    <row r="12" spans="1:2" x14ac:dyDescent="0.25">
      <c r="A12" t="s">
        <v>71</v>
      </c>
      <c r="B12" s="18">
        <f>-Assumptions!B30</f>
        <v>-22633000000</v>
      </c>
    </row>
    <row r="13" spans="1:2" x14ac:dyDescent="0.25">
      <c r="A13" t="s">
        <v>72</v>
      </c>
      <c r="B13" s="18">
        <f>B11+B12</f>
        <v>36227931993.180725</v>
      </c>
    </row>
    <row r="14" spans="1:2" x14ac:dyDescent="0.25">
      <c r="A14" s="19" t="s">
        <v>73</v>
      </c>
      <c r="B14" s="24">
        <f>B13/Assumptions!B31</f>
        <v>112.71914123578321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5286115990.154712</v>
      </c>
    </row>
    <row r="18" spans="1:2" x14ac:dyDescent="0.25">
      <c r="A18" t="s">
        <v>68</v>
      </c>
      <c r="B18" s="18">
        <f>B17*Assumptions!B13</f>
        <v>61021589137.48834</v>
      </c>
    </row>
    <row r="19" spans="1:2" x14ac:dyDescent="0.25">
      <c r="A19" t="s">
        <v>69</v>
      </c>
      <c r="B19" s="18">
        <f>B18/(1+Assumptions!B26)^(10-0.5*Assumptions!B32)</f>
        <v>31095859082.759438</v>
      </c>
    </row>
    <row r="20" spans="1:2" x14ac:dyDescent="0.25">
      <c r="A20" t="s">
        <v>70</v>
      </c>
      <c r="B20" s="18">
        <f>Forecast!B17+B19</f>
        <v>56504014144.207184</v>
      </c>
    </row>
    <row r="21" spans="1:2" x14ac:dyDescent="0.25">
      <c r="A21" t="s">
        <v>71</v>
      </c>
      <c r="B21" s="18">
        <f>-Assumptions!B30</f>
        <v>-22633000000</v>
      </c>
    </row>
    <row r="22" spans="1:2" x14ac:dyDescent="0.25">
      <c r="A22" t="s">
        <v>72</v>
      </c>
      <c r="B22" s="18">
        <f>B20+B21</f>
        <v>33871014144.207184</v>
      </c>
    </row>
    <row r="23" spans="1:2" x14ac:dyDescent="0.25">
      <c r="A23" s="19" t="s">
        <v>73</v>
      </c>
      <c r="B23" s="25">
        <f>B22/Assumptions!B31</f>
        <v>105.38585608029615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218.33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112.71914123578321</v>
      </c>
    </row>
    <row r="29" spans="1:2" x14ac:dyDescent="0.25">
      <c r="A29" s="19" t="s">
        <v>81</v>
      </c>
      <c r="B29" s="11">
        <f>B28/B26-1</f>
        <v>-0.4837212419924738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0.053542</v>
      </c>
      <c r="B5" s="31">
        <v>189.42042778483474</v>
      </c>
      <c r="C5" s="31">
        <v>204.95850447696498</v>
      </c>
      <c r="D5" s="31">
        <v>226.41429027651353</v>
      </c>
      <c r="E5" s="31">
        <v>257.55830751001474</v>
      </c>
      <c r="F5" s="31">
        <v>306.2280856515971</v>
      </c>
    </row>
    <row r="6" spans="1:6" x14ac:dyDescent="0.25">
      <c r="A6" s="30">
        <v>0.063542</v>
      </c>
      <c r="B6" s="31">
        <v>139.07380560003665</v>
      </c>
      <c r="C6" s="31">
        <v>145.92128073470394</v>
      </c>
      <c r="D6" s="31">
        <v>154.87681700147638</v>
      </c>
      <c r="E6" s="31">
        <v>166.8831404447635</v>
      </c>
      <c r="F6" s="31">
        <v>183.54356574635761</v>
      </c>
    </row>
    <row r="7" spans="1:6" x14ac:dyDescent="0.25">
      <c r="A7" s="30">
        <v>0.073542</v>
      </c>
      <c r="B7" s="31">
        <v>105.90824970638447</v>
      </c>
      <c r="C7" s="31">
        <v>108.88291906285436</v>
      </c>
      <c r="D7" s="32">
        <v>112.71920625009942</v>
      </c>
      <c r="E7" s="31">
        <v>117.71393427720581</v>
      </c>
      <c r="F7" s="31">
        <v>124.31795189613023</v>
      </c>
    </row>
    <row r="8" spans="1:6" x14ac:dyDescent="0.25">
      <c r="A8" s="30">
        <v>0.083542</v>
      </c>
      <c r="B8" s="31">
        <v>82.40383509860084</v>
      </c>
      <c r="C8" s="31">
        <v>83.45925675955262</v>
      </c>
      <c r="D8" s="31">
        <v>84.89020228865732</v>
      </c>
      <c r="E8" s="31">
        <v>86.80187616132298</v>
      </c>
      <c r="F8" s="31">
        <v>89.34282860525781</v>
      </c>
    </row>
    <row r="9" spans="1:6" x14ac:dyDescent="0.25">
      <c r="A9" s="30">
        <v>0.093542</v>
      </c>
      <c r="B9" s="31">
        <v>64.87042916340319</v>
      </c>
      <c r="C9" s="31">
        <v>64.91402332913145</v>
      </c>
      <c r="D9" s="31">
        <v>65.12191760404828</v>
      </c>
      <c r="E9" s="31">
        <v>65.53289738423533</v>
      </c>
      <c r="F9" s="31">
        <v>66.19899851710227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37442000000</v>
      </c>
      <c r="C5" s="18">
        <v>34717000000</v>
      </c>
      <c r="D5" s="18">
        <v>33009000000</v>
      </c>
      <c r="E5" s="18">
        <v>35466000000</v>
      </c>
      <c r="F5" s="6" t="s">
        <v>91</v>
      </c>
    </row>
    <row r="6" spans="1:6" x14ac:dyDescent="0.25">
      <c r="A6" t="s">
        <v>51</v>
      </c>
      <c r="B6" s="18">
        <v>6567000000</v>
      </c>
      <c r="C6" s="18">
        <v>6668000000</v>
      </c>
      <c r="D6" s="18">
        <v>6110000000</v>
      </c>
      <c r="E6" s="18">
        <v>6427000000</v>
      </c>
      <c r="F6" s="6" t="s">
        <v>92</v>
      </c>
    </row>
    <row r="7" spans="1:6" x14ac:dyDescent="0.25">
      <c r="A7" t="s">
        <v>93</v>
      </c>
      <c r="B7" s="18">
        <v>1388000000</v>
      </c>
      <c r="C7" s="18">
        <v>1152000000</v>
      </c>
      <c r="D7" s="18">
        <v>1004000000</v>
      </c>
      <c r="E7" s="18">
        <v>1204000000</v>
      </c>
      <c r="F7" s="6" t="s">
        <v>94</v>
      </c>
    </row>
    <row r="8" spans="1:6" x14ac:dyDescent="0.25">
      <c r="A8" t="s">
        <v>95</v>
      </c>
      <c r="B8" s="18">
        <v>986000000</v>
      </c>
      <c r="C8" s="18">
        <v>871000000</v>
      </c>
      <c r="D8" s="18">
        <v>741000000</v>
      </c>
      <c r="E8" s="18">
        <v>766000000</v>
      </c>
      <c r="F8" s="6" t="s">
        <v>96</v>
      </c>
    </row>
    <row r="9" spans="1:6" x14ac:dyDescent="0.25">
      <c r="A9" t="s">
        <v>97</v>
      </c>
      <c r="B9" s="18">
        <v>352000000</v>
      </c>
      <c r="C9" s="18">
        <v>284000000</v>
      </c>
      <c r="D9" s="18">
        <v>-48000000</v>
      </c>
      <c r="E9" s="18">
        <v>745000000</v>
      </c>
      <c r="F9" s="6" t="s">
        <v>98</v>
      </c>
    </row>
    <row r="10" spans="1:6" x14ac:dyDescent="0.25">
      <c r="A10" t="s">
        <v>99</v>
      </c>
      <c r="B10" s="18">
        <v>35563000000</v>
      </c>
      <c r="C10" s="18">
        <v>32077000000</v>
      </c>
      <c r="D10" s="18">
        <v>21536000000</v>
      </c>
      <c r="E10" s="18">
        <v>20537000000</v>
      </c>
      <c r="F10" s="6" t="s">
        <v>100</v>
      </c>
    </row>
    <row r="11" spans="1:6" x14ac:dyDescent="0.25">
      <c r="A11" t="s">
        <v>101</v>
      </c>
      <c r="B11" s="18">
        <v>12930000000</v>
      </c>
      <c r="C11" s="18">
        <v>10292000000</v>
      </c>
      <c r="D11" s="18">
        <v>8095000000</v>
      </c>
      <c r="E11" s="18">
        <v>10110000000</v>
      </c>
      <c r="F11" s="6" t="s">
        <v>102</v>
      </c>
    </row>
    <row r="12" spans="1:6" x14ac:dyDescent="0.25">
      <c r="A12" t="s">
        <v>34</v>
      </c>
      <c r="B12" s="34">
        <v>321400000</v>
      </c>
      <c r="C12" s="34">
        <v>327650000</v>
      </c>
      <c r="D12" s="34">
        <v>334100000</v>
      </c>
      <c r="E12" s="34">
        <v>341550000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