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<sst xmlns="http://schemas.openxmlformats.org/spreadsheetml/2006/main" count="120" uniqueCount="107">
  <si>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Honeywell Aerospace Inc. (HONA)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</si>
  <si>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</si>
  <si>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</si>
  <si>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</si>
  <si>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</si>
  <si>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</si>
  <si>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</si>
  <si>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</si>
  <si>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</si>
  <si>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</si>
  <si>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</si>
  <si>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</si>
  <si>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</si>
  <si>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</si>
  <si>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</si>
  <si>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</si>
  <si>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</si>
  <si>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</si>
  <si>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</si>
  <si>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</si>
  <si>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</si>
  <si>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</si>
  <si>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</si>
  <si>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</si>
  <si>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Implied cost of debt of 322.0% is not a credible funding cost, so risk-free + 200bp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</si>
  <si>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</si>
  <si>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</si>
  <si>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</si>
  <si>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</si>
  <si>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</si>
  <si>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</si>
  <si>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</si>
  <si>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</si>
  <si>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</si>
  <si>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</si>
  <si>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</si>
  <si>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</si>
  <si>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</si>
  <si>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</si>
  <si>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</si>
  <si>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</si>
  <si>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</si>
  <si>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</si>
  <si>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</si>
  <si>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</si>
  <si>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</si>
  <si>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</si>
  <si>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</si>
  <si>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</si>
  <si>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</si>
  <si>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</si>
  <si>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</si>
  <si>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</si>
  <si>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</si>
  <si>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</si>
  <si>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</si>
  <si>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</si>
  <si>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</si>
  <si>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</si>
  <si>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</si>
  <si>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</si>
  <si>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</si>
  <si>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</si>
  <si>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</si>
  <si>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</si>
  <si>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</si>
  <si>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</si>
  <si>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</si>
  <si>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</si>
  <si>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</si>
  <si>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</si>
  <si>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</si>
  <si>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</si>
  <si>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</si>
  <si>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</si>
  <si>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</si>
  <si>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</si>
  <si>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</si>
  <si>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</si>
  <si>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</si>
  <si>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</si>
  <si>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</si>
  <si>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</si>
  <si>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</si>
  <si>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</si>
  <si>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</si>
  <si>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</si>
  <si>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</si>
  <si>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</si>
  <si>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</si>
  <si>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</si>
  <si>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</si>
  <si>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</si>
  <si>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</si>
  <si>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</si>
  <si>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</si>
  <si>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</si>
  <si>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</si>
  <si>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</si>
  <si>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</si>
  <si>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</si>
  <si>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</si>
  <si>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</si>
  <si>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</si>
  <si>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Only 3 year(s) of history available to anchor assumptions on.</t>
  </si>
  <si>
    <t>Adjusted: Capital expenditure runs at 3.0% of revenue against depreciation of 2.3%.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</si>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</sst>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0.0589433905998622</v>
      </c>
    </row>
    <row r="7" spans="1:2" x14ac:dyDescent="0.25">
      <c r="A7" t="s">
        <v>4</v>
      </c>
      <c r="B7" s="5">
        <v>0.22426076813852716</v>
      </c>
    </row>
    <row r="8" spans="1:2" x14ac:dyDescent="0.25">
      <c r="A8" t="s">
        <v>5</v>
      </c>
      <c r="B8" s="5">
        <v>0.16047248631518293</v>
      </c>
    </row>
    <row r="9" spans="1:2" x14ac:dyDescent="0.25">
      <c r="A9" t="s">
        <v>6</v>
      </c>
      <c r="B9" s="5">
        <v>0.02265823942226472</v>
      </c>
    </row>
    <row r="10" spans="1:3" x14ac:dyDescent="0.25">
      <c r="A10" t="s">
        <v>7</v>
      </c>
      <c r="B10" s="5">
        <v>0.029539553382105056</v>
      </c>
      <c r="C10" s="6" t="s">
        <v>8</v>
      </c>
    </row>
    <row r="11" spans="1:2" x14ac:dyDescent="0.25">
      <c r="A11" t="s">
        <v>9</v>
      </c>
      <c r="B11" s="5">
        <v>0.19403444016136917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13.335638414826928</v>
      </c>
    </row>
    <row r="14" spans="1:3" x14ac:dyDescent="0.25">
      <c r="A14" t="s">
        <v>12</v>
      </c>
      <c r="B14" s="5">
        <v>0.3313848088285386</v>
      </c>
      <c r="C14" s="6" t="s">
        <v>13</v>
      </c>
    </row>
    <row r="15" spans="1:3" x14ac:dyDescent="0.25">
      <c r="A15" t="s">
        <v>14</v>
      </c>
      <c r="B15" s="5">
        <v>0.016039045790955667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48870457344</v>
      </c>
    </row>
    <row r="23" spans="1:2" x14ac:dyDescent="0.25">
      <c r="A23" t="s">
        <v>26</v>
      </c>
      <c r="B23" s="10">
        <v>271000000</v>
      </c>
    </row>
    <row r="24" spans="1:2" x14ac:dyDescent="0.25">
      <c r="A24" t="s">
        <v>27</v>
      </c>
      <c r="B24" s="9">
        <f>B22/(B22+B23)</f>
        <v>0.9944853080342542</v>
      </c>
    </row>
    <row r="25" spans="1:2" x14ac:dyDescent="0.25">
      <c r="A25" t="s">
        <v>28</v>
      </c>
      <c r="B25" s="9">
        <f>1-B24</f>
        <v>0.005514691965745833</v>
      </c>
    </row>
    <row r="26" spans="1:2" x14ac:dyDescent="0.25">
      <c r="A26" t="s">
        <v>29</v>
      </c>
      <c r="B26" s="11">
        <f>B24*B20+B25*B21*(1-B8)</f>
        <v>0.09105601347970435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17404000000</v>
      </c>
      <c r="C29" s="6" t="s">
        <v>32</v>
      </c>
    </row>
    <row r="30" spans="1:2" x14ac:dyDescent="0.25">
      <c r="A30" t="s">
        <v>33</v>
      </c>
      <c r="B30" s="10">
        <v>58000000</v>
      </c>
    </row>
    <row r="31" spans="1:2" x14ac:dyDescent="0.25">
      <c r="A31" t="s">
        <v>34</v>
      </c>
      <c r="B31" s="12">
        <v>316800000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0.0589433905998622</v>
      </c>
      <c r="C5" s="5">
        <v>0.07255829559817961</v>
      </c>
      <c r="D5" s="5">
        <v>0.06661350864840716</v>
      </c>
      <c r="E5" s="5">
        <v>0.06066872169863471</v>
      </c>
      <c r="F5" s="5">
        <v>0.05472393474886226</v>
      </c>
      <c r="G5" s="5">
        <v>0.0487791477990898</v>
      </c>
      <c r="H5" s="5">
        <v>0.042834360849317354</v>
      </c>
      <c r="I5" s="5">
        <v>0.036889573899544906</v>
      </c>
      <c r="J5" s="5">
        <v>0.03094478694977245</v>
      </c>
      <c r="K5" s="5">
        <v>0.025</v>
      </c>
    </row>
    <row r="6" spans="1:11" x14ac:dyDescent="0.25">
      <c r="A6" t="s">
        <v>50</v>
      </c>
      <c r="B6" s="18">
        <f>Assumptions!B29*(1+B5)</f>
        <v>18429850770</v>
      </c>
      <c r="C6" s="18">
        <f>B6*(1+C5)</f>
        <v>19767089330</v>
      </c>
      <c r="D6" s="18">
        <f>C6*(1+D5)</f>
        <v>21083844506.037792</v>
      </c>
      <c r="E6" s="18">
        <f>D6*(1+E5)</f>
        <v>22362974400.71189</v>
      </c>
      <c r="F6" s="18">
        <f>E6*(1+F5)</f>
        <v>23586764352.606922</v>
      </c>
      <c r="G6" s="18">
        <f>F6*(1+G5)</f>
        <v>24737306617.065037</v>
      </c>
      <c r="H6" s="18">
        <f>G6*(1+H5)</f>
        <v>25796913335.140606</v>
      </c>
      <c r="I6" s="18">
        <f>H6*(1+I5)</f>
        <v>26748550475.997433</v>
      </c>
      <c r="J6" s="18">
        <f>I6*(1+J5)</f>
        <v>27576278671.69241</v>
      </c>
      <c r="K6" s="18">
        <f>J6*(1+K5)</f>
        <v>28265685638.48472</v>
      </c>
    </row>
    <row r="7" spans="1:11" x14ac:dyDescent="0.25">
      <c r="A7" t="s">
        <v>4</v>
      </c>
      <c r="B7" s="9">
        <f>Assumptions!B7</f>
        <v>0.22426076813852716</v>
      </c>
      <c r="C7" s="9">
        <f>Assumptions!B7</f>
        <v>0.22426076813852716</v>
      </c>
      <c r="D7" s="9">
        <f>Assumptions!B7</f>
        <v>0.22426076813852716</v>
      </c>
      <c r="E7" s="9">
        <f>Assumptions!B7</f>
        <v>0.22426076813852716</v>
      </c>
      <c r="F7" s="9">
        <f>Assumptions!B7</f>
        <v>0.22426076813852716</v>
      </c>
      <c r="G7" s="9">
        <f>Assumptions!B7</f>
        <v>0.22426076813852716</v>
      </c>
      <c r="H7" s="9">
        <f>Assumptions!B7</f>
        <v>0.22426076813852716</v>
      </c>
      <c r="I7" s="9">
        <f>Assumptions!B7</f>
        <v>0.22426076813852716</v>
      </c>
      <c r="J7" s="9">
        <f>Assumptions!B7</f>
        <v>0.22426076813852716</v>
      </c>
      <c r="K7" s="9">
        <f>Assumptions!B7</f>
        <v>0.22426076813852716</v>
      </c>
    </row>
    <row r="8" spans="1:11" x14ac:dyDescent="0.25">
      <c r="A8" t="s">
        <v>51</v>
      </c>
      <c r="B8" s="18">
        <f>B6*B7</f>
        <v>4133092490.3586264</v>
      </c>
      <c r="C8" s="18">
        <f>C6*C7</f>
        <v>4432982637.008684</v>
      </c>
      <c r="D8" s="18">
        <f>D6*D7</f>
        <v>4728279164.237301</v>
      </c>
      <c r="E8" s="18">
        <f>E6*E7</f>
        <v>5015137816.965868</v>
      </c>
      <c r="F8" s="18">
        <f>F6*F7</f>
        <v>5289585891.618058</v>
      </c>
      <c r="G8" s="18">
        <f>G6*G7</f>
        <v>5547607383.621276</v>
      </c>
      <c r="H8" s="18">
        <f>H6*H7</f>
        <v>5785235600.141646</v>
      </c>
      <c r="I8" s="18">
        <f>I6*I7</f>
        <v>5998650476.339351</v>
      </c>
      <c r="J8" s="18">
        <f>J6*J7</f>
        <v>6184277437.315824</v>
      </c>
      <c r="K8" s="18">
        <f>K6*K7</f>
        <v>6338884373.248718</v>
      </c>
    </row>
    <row r="9" spans="1:11" x14ac:dyDescent="0.25">
      <c r="A9" t="s">
        <v>52</v>
      </c>
      <c r="B9" s="18">
        <f>B8*(1-Assumptions!B8)</f>
        <v>3469844862.260166</v>
      </c>
      <c r="C9" s="18">
        <f>C8*(1-Assumptions!B8)</f>
        <v>3721610891.4558644</v>
      </c>
      <c r="D9" s="18">
        <f>D8*(1-Assumptions!B8)</f>
        <v>3969520450.7598658</v>
      </c>
      <c r="E9" s="18">
        <f>E8*(1-Assumptions!B8)</f>
        <v>4210346182.264056</v>
      </c>
      <c r="F9" s="18">
        <f>F8*(1-Assumptions!B8)</f>
        <v>4440752892.012395</v>
      </c>
      <c r="G9" s="18">
        <f>G8*(1-Assumptions!B8)</f>
        <v>4657369033.671103</v>
      </c>
      <c r="H9" s="18">
        <f>H8*(1-Assumptions!B8)</f>
        <v>4856864459.467807</v>
      </c>
      <c r="I9" s="18">
        <f>I8*(1-Assumptions!B8)</f>
        <v>5036032119.865418</v>
      </c>
      <c r="J9" s="18">
        <f>J8*(1-Assumptions!B8)</f>
        <v>5191871060.886866</v>
      </c>
      <c r="K9" s="18">
        <f>K8*(1-Assumptions!B8)</f>
        <v>5321667837.409037</v>
      </c>
    </row>
    <row r="10" spans="1:11" x14ac:dyDescent="0.25">
      <c r="A10" t="s">
        <v>53</v>
      </c>
      <c r="B10" s="18">
        <f>B6*Assumptions!B9</f>
        <v>417587971.2632698</v>
      </c>
      <c r="C10" s="18">
        <f>C6*Assumptions!B9</f>
        <v>447887442.7204343</v>
      </c>
      <c r="D10" s="18">
        <f>D6*Assumptions!B9</f>
        <v>477722796.75960493</v>
      </c>
      <c r="E10" s="18">
        <f>E6*Assumptions!B9</f>
        <v>506705628.1653069</v>
      </c>
      <c r="F10" s="18">
        <f>F6*Assumptions!B9</f>
        <v>534434553.89790636</v>
      </c>
      <c r="G10" s="18">
        <f>G6*Assumptions!B9</f>
        <v>560503815.9914329</v>
      </c>
      <c r="H10" s="18">
        <f>H6*Assumptions!B9</f>
        <v>584512638.7030293</v>
      </c>
      <c r="I10" s="18">
        <f>I6*Assumptions!B9</f>
        <v>606075060.8836827</v>
      </c>
      <c r="J10" s="18">
        <f>J6*Assumptions!B9</f>
        <v>624829924.5182987</v>
      </c>
      <c r="K10" s="18">
        <f>K6*Assumptions!B9</f>
        <v>640450672.6312562</v>
      </c>
    </row>
    <row r="11" spans="1:11" x14ac:dyDescent="0.25">
      <c r="A11" t="s">
        <v>54</v>
      </c>
      <c r="B11" s="18">
        <f>-B6*B19</f>
        <v>-544409560.644645</v>
      </c>
      <c r="C11" s="18">
        <f>-C6*C19</f>
        <v>-586375785.5131296</v>
      </c>
      <c r="D11" s="18">
        <f>-D6*D19</f>
        <v>-628065317.6591442</v>
      </c>
      <c r="E11" s="18">
        <f>-E6*E19</f>
        <v>-668957718.3909184</v>
      </c>
      <c r="F11" s="18">
        <f>-F6*F19</f>
        <v>-708506794.3275326</v>
      </c>
      <c r="G11" s="18">
        <f>-G6*G19</f>
        <v>-746151692.6197951</v>
      </c>
      <c r="H11" s="18">
        <f>-H6*H19</f>
        <v>-781329288.4523755</v>
      </c>
      <c r="I11" s="18">
        <f>-I6*I19</f>
        <v>-813487519.3617785</v>
      </c>
      <c r="J11" s="18">
        <f>-J6*J19</f>
        <v>-842099254.6822226</v>
      </c>
      <c r="K11" s="18">
        <f>-K6*K19</f>
        <v>-866676236.8304604</v>
      </c>
    </row>
    <row r="12" spans="1:11" x14ac:dyDescent="0.25">
      <c r="A12" t="s">
        <v>55</v>
      </c>
      <c r="B12" s="18">
        <f>-(B6-Assumptions!B29)*Assumptions!B11</f>
        <v>-199050379.8460595</v>
      </c>
      <c r="C12" s="18">
        <f>-(C6-B6)*Assumptions!B11</f>
        <v>-259470335.35179546</v>
      </c>
      <c r="D12" s="18">
        <f>-(D6-C6)*Assumptions!B11</f>
        <v>-255495853.4120781</v>
      </c>
      <c r="E12" s="18">
        <f>-(E6-D6)*Assumptions!B11</f>
        <v>-248195253.0067599</v>
      </c>
      <c r="F12" s="18">
        <f>-(F6-E6)*Assumptions!B11</f>
        <v>-237457398.19106126</v>
      </c>
      <c r="G12" s="18">
        <f>-(G6-F6)*Assumptions!B11</f>
        <v>-223244824.16612422</v>
      </c>
      <c r="H12" s="18">
        <f>-(H6-G6)*Assumptions!B11</f>
        <v>-205600196.3330188</v>
      </c>
      <c r="I12" s="18">
        <f>-(I6-H6)*Assumptions!B11</f>
        <v>-184650379.8629204</v>
      </c>
      <c r="J12" s="18">
        <f>-(J6-I6)*Assumptions!B11</f>
        <v>-160607777.05745503</v>
      </c>
      <c r="K12" s="18">
        <f>-(K6-J6)*Assumptions!B11</f>
        <v>-133768694.84489326</v>
      </c>
    </row>
    <row r="13" spans="1:11" x14ac:dyDescent="0.25">
      <c r="A13" s="19" t="s">
        <v>56</v>
      </c>
      <c r="B13" s="20">
        <f>B9+B10+B11+B12</f>
        <v>3143972893.0327315</v>
      </c>
      <c r="C13" s="20">
        <f>C9+C10+C11+C12</f>
        <v>3323652213.311373</v>
      </c>
      <c r="D13" s="20">
        <f>D9+D10+D11+D12</f>
        <v>3563682076.448248</v>
      </c>
      <c r="E13" s="20">
        <f>E9+E10+E11+E12</f>
        <v>3799898839.031685</v>
      </c>
      <c r="F13" s="20">
        <f>F9+F10+F11+F12</f>
        <v>4029223253.3917074</v>
      </c>
      <c r="G13" s="20">
        <f>G9+G10+G11+G12</f>
        <v>4248476332.8766165</v>
      </c>
      <c r="H13" s="20">
        <f>H9+H10+H11+H12</f>
        <v>4454447613.385442</v>
      </c>
      <c r="I13" s="20">
        <f>I9+I10+I11+I12</f>
        <v>4643969281.524403</v>
      </c>
      <c r="J13" s="20">
        <f>J9+J10+J11+J12</f>
        <v>4813993953.665487</v>
      </c>
      <c r="K13" s="20">
        <f>K9+K10+K11+K12</f>
        <v>4961673578.364939</v>
      </c>
    </row>
    <row r="14" spans="1:11" x14ac:dyDescent="0.25">
      <c r="A14" t="s">
        <v>57</v>
      </c>
      <c r="B14" s="21">
        <f>1/(1+Assumptions!$B$26)^(1-0.5*Assumptions!$B$32)</f>
        <v>0.9573626415941818</v>
      </c>
      <c r="C14" s="21">
        <f>1/(1+Assumptions!$B$26)^(2-0.5*Assumptions!$B$32)</f>
        <v>0.8774642454339862</v>
      </c>
      <c r="D14" s="21">
        <f>1/(1+Assumptions!$B$26)^(3-0.5*Assumptions!$B$32)</f>
        <v>0.8042339115436339</v>
      </c>
      <c r="E14" s="21">
        <f>1/(1+Assumptions!$B$26)^(4-0.5*Assumptions!$B$32)</f>
        <v>0.7371151449673891</v>
      </c>
      <c r="F14" s="21">
        <f>1/(1+Assumptions!$B$26)^(5-0.5*Assumptions!$B$32)</f>
        <v>0.6755978940224234</v>
      </c>
      <c r="G14" s="21">
        <f>1/(1+Assumptions!$B$26)^(6-0.5*Assumptions!$B$32)</f>
        <v>0.6192146742931552</v>
      </c>
      <c r="H14" s="21">
        <f>1/(1+Assumptions!$B$26)^(7-0.5*Assumptions!$B$32)</f>
        <v>0.5675370161045118</v>
      </c>
      <c r="I14" s="21">
        <f>1/(1+Assumptions!$B$26)^(8-0.5*Assumptions!$B$32)</f>
        <v>0.5201722084776071</v>
      </c>
      <c r="J14" s="21">
        <f>1/(1+Assumptions!$B$26)^(9-0.5*Assumptions!$B$32)</f>
        <v>0.47676031482437126</v>
      </c>
      <c r="K14" s="21">
        <f>1/(1+Assumptions!$B$26)^(10-0.5*Assumptions!$B$32)</f>
        <v>0.43697143770267105</v>
      </c>
    </row>
    <row r="15" spans="1:11" x14ac:dyDescent="0.25">
      <c r="A15" s="19" t="s">
        <v>58</v>
      </c>
      <c r="B15" s="20">
        <f>B13*B14</f>
        <v>3009922193.974318</v>
      </c>
      <c r="C15" s="20">
        <f>C13*C14</f>
        <v>2916385981.438262</v>
      </c>
      <c r="D15" s="20">
        <f>D13*D14</f>
        <v>2866033975.839914</v>
      </c>
      <c r="E15" s="20">
        <f>E13*E14</f>
        <v>2800962983.5942535</v>
      </c>
      <c r="F15" s="20">
        <f>F13*F14</f>
        <v>2722134744.537615</v>
      </c>
      <c r="G15" s="20">
        <f>G13*G14</f>
        <v>2630718888.704373</v>
      </c>
      <c r="H15" s="20">
        <f>H13*H14</f>
        <v>2528063906.8946376</v>
      </c>
      <c r="I15" s="20">
        <f>I13*I14</f>
        <v>2415663757.272715</v>
      </c>
      <c r="J15" s="20">
        <f>J13*J14</f>
        <v>2295121272.9121776</v>
      </c>
      <c r="K15" s="20">
        <f>K13*K14</f>
        <v>2168109636.949484</v>
      </c>
    </row>
    <row r="17" spans="1:2" x14ac:dyDescent="0.25">
      <c r="A17" s="22" t="s">
        <v>59</v>
      </c>
      <c r="B17" s="23">
        <f>SUM(B15:K15)</f>
        <v>26353117342.117752</v>
      </c>
    </row>
    <row r="19" spans="1:11" x14ac:dyDescent="0.25">
      <c r="A19" t="s">
        <v>7</v>
      </c>
      <c r="B19" s="9">
        <f>Assumptions!$B$10+($B$20-Assumptions!$B$10)*0/9</f>
        <v>0.029539553382105056</v>
      </c>
      <c r="C19" s="9">
        <f>Assumptions!$B$10+($B$20-Assumptions!$B$10)*1/9</f>
        <v>0.029664245237319902</v>
      </c>
      <c r="D19" s="9">
        <f>Assumptions!$B$10+($B$20-Assumptions!$B$10)*2/9</f>
        <v>0.02978893709253475</v>
      </c>
      <c r="E19" s="9">
        <f>Assumptions!$B$10+($B$20-Assumptions!$B$10)*3/9</f>
        <v>0.029913628947749595</v>
      </c>
      <c r="F19" s="9">
        <f>Assumptions!$B$10+($B$20-Assumptions!$B$10)*4/9</f>
        <v>0.030038320802964442</v>
      </c>
      <c r="G19" s="9">
        <f>Assumptions!$B$10+($B$20-Assumptions!$B$10)*5/9</f>
        <v>0.030163012658179292</v>
      </c>
      <c r="H19" s="9">
        <f>Assumptions!$B$10+($B$20-Assumptions!$B$10)*6/9</f>
        <v>0.03028770451339414</v>
      </c>
      <c r="I19" s="9">
        <f>Assumptions!$B$10+($B$20-Assumptions!$B$10)*7/9</f>
        <v>0.030412396368608985</v>
      </c>
      <c r="J19" s="9">
        <f>Assumptions!$B$10+($B$20-Assumptions!$B$10)*8/9</f>
        <v>0.03053708822382383</v>
      </c>
      <c r="K19" s="9">
        <f>Assumptions!$B$10+($B$20-Assumptions!$B$10)*9/9</f>
        <v>0.030661780079038678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0.030661780079038678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4961673578.364939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5478740116.032291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0.07544099588745849</v>
      </c>
    </row>
    <row r="7" spans="1:2" x14ac:dyDescent="0.25">
      <c r="A7" t="s">
        <v>66</v>
      </c>
      <c r="B7" s="18">
        <f>-MAX(B5,0)*B6</f>
        <v>-413321610.56204593</v>
      </c>
    </row>
    <row r="8" spans="1:2" x14ac:dyDescent="0.25">
      <c r="A8" t="s">
        <v>67</v>
      </c>
      <c r="B8" s="18">
        <f>IF(OR(Assumptions!$B$33=0,Assumptions!B12&lt;=0),B5,MAX(B5+B7,0))</f>
        <v>5065418505.470245</v>
      </c>
    </row>
    <row r="9" spans="1:2" x14ac:dyDescent="0.25">
      <c r="A9" t="s">
        <v>68</v>
      </c>
      <c r="B9" s="18">
        <f>B8*(1+Assumptions!B12)/(Assumptions!B26-Assumptions!B12)</f>
        <v>78600776743.8502</v>
      </c>
    </row>
    <row r="10" spans="1:2" x14ac:dyDescent="0.25">
      <c r="A10" t="s">
        <v>69</v>
      </c>
      <c r="B10" s="18">
        <f>B9/(1+Assumptions!B26)^(10-0.5*Assumptions!B32)</f>
        <v>34346294418.306896</v>
      </c>
    </row>
    <row r="11" spans="1:2" x14ac:dyDescent="0.25">
      <c r="A11" t="s">
        <v>70</v>
      </c>
      <c r="B11" s="18">
        <f>Forecast!B17+B10</f>
        <v>60699411760.42465</v>
      </c>
    </row>
    <row r="12" spans="1:2" x14ac:dyDescent="0.25">
      <c r="A12" t="s">
        <v>71</v>
      </c>
      <c r="B12" s="18">
        <f>-Assumptions!B30</f>
        <v>-58000000</v>
      </c>
    </row>
    <row r="13" spans="1:2" x14ac:dyDescent="0.25">
      <c r="A13" t="s">
        <v>72</v>
      </c>
      <c r="B13" s="18">
        <f>B11+B12</f>
        <v>60641411760.42465</v>
      </c>
    </row>
    <row r="14" spans="1:2" x14ac:dyDescent="0.25">
      <c r="A14" s="19" t="s">
        <v>73</v>
      </c>
      <c r="B14" s="24">
        <f>B13/Assumptions!B31</f>
        <v>191.41859772861318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6979335045.879974</v>
      </c>
    </row>
    <row r="18" spans="1:2" x14ac:dyDescent="0.25">
      <c r="A18" t="s">
        <v>68</v>
      </c>
      <c r="B18" s="18">
        <f>B17*Assumptions!B13</f>
        <v>93073888547.78485</v>
      </c>
    </row>
    <row r="19" spans="1:2" x14ac:dyDescent="0.25">
      <c r="A19" t="s">
        <v>69</v>
      </c>
      <c r="B19" s="18">
        <f>B18/(1+Assumptions!B26)^(10-0.5*Assumptions!B32)</f>
        <v>40670630891.30372</v>
      </c>
    </row>
    <row r="20" spans="1:2" x14ac:dyDescent="0.25">
      <c r="A20" t="s">
        <v>70</v>
      </c>
      <c r="B20" s="18">
        <f>Forecast!B17+B19</f>
        <v>67023748233.42147</v>
      </c>
    </row>
    <row r="21" spans="1:2" x14ac:dyDescent="0.25">
      <c r="A21" t="s">
        <v>71</v>
      </c>
      <c r="B21" s="18">
        <f>-Assumptions!B30</f>
        <v>-58000000</v>
      </c>
    </row>
    <row r="22" spans="1:2" x14ac:dyDescent="0.25">
      <c r="A22" t="s">
        <v>72</v>
      </c>
      <c r="B22" s="18">
        <f>B20+B21</f>
        <v>66965748233.42147</v>
      </c>
    </row>
    <row r="23" spans="1:2" x14ac:dyDescent="0.25">
      <c r="A23" s="19" t="s">
        <v>73</v>
      </c>
      <c r="B23" s="25">
        <f>B22/Assumptions!B31</f>
        <v>211.3817810398405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154.15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191.41859772861318</v>
      </c>
    </row>
    <row r="29" spans="1:2" x14ac:dyDescent="0.25">
      <c r="A29" s="19" t="s">
        <v>81</v>
      </c>
      <c r="B29" s="11">
        <f>B28/B26-1</f>
        <v>0.24176839266048122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0.071056</v>
      </c>
      <c r="B5" s="31">
        <v>247.94156806401594</v>
      </c>
      <c r="C5" s="31">
        <v>260.5749396770691</v>
      </c>
      <c r="D5" s="31">
        <v>276.0836998623873</v>
      </c>
      <c r="E5" s="31">
        <v>295.51838516965825</v>
      </c>
      <c r="F5" s="31">
        <v>320.5122571040209</v>
      </c>
    </row>
    <row r="6" spans="1:6" x14ac:dyDescent="0.25">
      <c r="A6" s="30">
        <v>0.081056</v>
      </c>
      <c r="B6" s="31">
        <v>209.12024354540583</v>
      </c>
      <c r="C6" s="31">
        <v>216.89420027016817</v>
      </c>
      <c r="D6" s="31">
        <v>226.15776300524672</v>
      </c>
      <c r="E6" s="31">
        <v>237.34857062079882</v>
      </c>
      <c r="F6" s="31">
        <v>251.09430839576967</v>
      </c>
    </row>
    <row r="7" spans="1:6" x14ac:dyDescent="0.25">
      <c r="A7" s="30">
        <v>0.091056</v>
      </c>
      <c r="B7" s="31">
        <v>180.60680983951318</v>
      </c>
      <c r="C7" s="31">
        <v>185.59396631312973</v>
      </c>
      <c r="D7" s="32">
        <v>191.41863742186888</v>
      </c>
      <c r="E7" s="31">
        <v>198.28658049550748</v>
      </c>
      <c r="F7" s="31">
        <v>206.47696421310724</v>
      </c>
    </row>
    <row r="8" spans="1:6" x14ac:dyDescent="0.25">
      <c r="A8" s="30">
        <v>0.101056</v>
      </c>
      <c r="B8" s="31">
        <v>158.8010648327928</v>
      </c>
      <c r="C8" s="31">
        <v>162.08619997499957</v>
      </c>
      <c r="D8" s="31">
        <v>165.87114107172715</v>
      </c>
      <c r="E8" s="31">
        <v>170.26139771143838</v>
      </c>
      <c r="F8" s="31">
        <v>175.3944249798901</v>
      </c>
    </row>
    <row r="9" spans="1:6" x14ac:dyDescent="0.25">
      <c r="A9" s="30">
        <v>0.111056</v>
      </c>
      <c r="B9" s="31">
        <v>141.60255327982088</v>
      </c>
      <c r="C9" s="31">
        <v>143.79880578439528</v>
      </c>
      <c r="D9" s="31">
        <v>146.3071156518732</v>
      </c>
      <c r="E9" s="31">
        <v>149.1852313579202</v>
      </c>
      <c r="F9" s="31">
        <v>152.50608715596195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4" t="s">
        <v>84</v>
      </c>
    </row>
    <row r="4" spans="1:5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33" t="s">
        <v>89</v>
      </c>
    </row>
    <row r="5" spans="1:5" x14ac:dyDescent="0.25">
      <c r="A5" t="s">
        <v>50</v>
      </c>
      <c r="B5" s="18">
        <v>17404000000</v>
      </c>
      <c r="C5" s="18">
        <v>15445000000</v>
      </c>
      <c r="D5" s="18">
        <v>13790000000</v>
      </c>
      <c r="E5" s="6" t="s">
        <v>90</v>
      </c>
    </row>
    <row r="6" spans="1:5" x14ac:dyDescent="0.25">
      <c r="A6" t="s">
        <v>51</v>
      </c>
      <c r="B6" s="18">
        <v>3257000000</v>
      </c>
      <c r="C6" s="18">
        <v>3509000000</v>
      </c>
      <c r="D6" s="18">
        <v>3564000000</v>
      </c>
      <c r="E6" s="6" t="s">
        <v>91</v>
      </c>
    </row>
    <row r="7" spans="1:5" x14ac:dyDescent="0.25">
      <c r="A7" t="s">
        <v>92</v>
      </c>
      <c r="B7" s="18">
        <v>412000000</v>
      </c>
      <c r="C7" s="18">
        <v>346000000</v>
      </c>
      <c r="D7" s="18">
        <v>302000000</v>
      </c>
      <c r="E7" s="6" t="s">
        <v>93</v>
      </c>
    </row>
    <row r="8" spans="1:5" x14ac:dyDescent="0.25">
      <c r="A8" t="s">
        <v>94</v>
      </c>
      <c r="B8" s="18">
        <v>504000000</v>
      </c>
      <c r="C8" s="18">
        <v>488000000</v>
      </c>
      <c r="D8" s="18">
        <v>387000000</v>
      </c>
      <c r="E8" s="6" t="s">
        <v>95</v>
      </c>
    </row>
    <row r="9" spans="1:5" x14ac:dyDescent="0.25">
      <c r="A9" t="s">
        <v>96</v>
      </c>
      <c r="B9" s="18">
        <v>-357000000</v>
      </c>
      <c r="C9" s="18">
        <v>467000000</v>
      </c>
      <c r="D9" s="18">
        <v>167000000</v>
      </c>
      <c r="E9" s="6" t="s">
        <v>97</v>
      </c>
    </row>
    <row r="10" spans="1:5" x14ac:dyDescent="0.25">
      <c r="A10" t="s">
        <v>98</v>
      </c>
      <c r="B10" s="18">
        <v>271000000</v>
      </c>
      <c r="C10" s="18">
        <v>237000000</v>
      </c>
      <c r="D10" s="18">
        <v>0</v>
      </c>
      <c r="E10" s="6" t="s">
        <v>99</v>
      </c>
    </row>
    <row r="11" spans="1:5" x14ac:dyDescent="0.25">
      <c r="A11" t="s">
        <v>100</v>
      </c>
      <c r="B11" s="18">
        <v>213000000</v>
      </c>
      <c r="C11" s="18">
        <v>244000000</v>
      </c>
      <c r="D11" s="18">
        <v>0</v>
      </c>
      <c r="E11" s="6" t="s">
        <v>101</v>
      </c>
    </row>
    <row r="12" spans="1:5" x14ac:dyDescent="0.25">
      <c r="A12" t="s">
        <v>34</v>
      </c>
      <c r="B12" s="34">
        <v>316800000</v>
      </c>
      <c r="C12" s="34">
        <v>316800000</v>
      </c>
      <c r="D12" s="34">
        <v>316800000</v>
      </c>
      <c r="E12" s="6" t="s">
        <v>102</v>
      </c>
    </row>
    <row r="15" spans="1:1" x14ac:dyDescent="0.25">
      <c r="A15" s="19" t="s">
        <v>103</v>
      </c>
    </row>
    <row r="16" ht="22" customHeight="1" spans="1:5" x14ac:dyDescent="0.25">
      <c r="A16" s="35" t="s">
        <v>104</v>
      </c>
      <c r="B16" s="35"/>
      <c r="C16" s="35"/>
      <c r="D16" s="35"/>
      <c r="E16" s="35"/>
    </row>
    <row r="17" ht="54" customHeight="1" spans="1:5" x14ac:dyDescent="0.25">
      <c r="A17" s="35" t="s">
        <v>105</v>
      </c>
      <c r="B17" s="35"/>
      <c r="C17" s="35"/>
      <c r="D17" s="35"/>
      <c r="E17" s="35"/>
    </row>
    <row r="19" spans="1:1" x14ac:dyDescent="0.25">
      <c r="A19" s="36" t="s">
        <v>106</v>
      </c>
    </row>
  </sheetData>
  <mergeCells count="2">
    <mergeCell ref="A16:E16"/>
    <mergeCell ref="A17:E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