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<sst xmlns="http://schemas.openxmlformats.org/spreadsheetml/2006/main" count="70" uniqueCount="67">
  <si>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Robinhood Markets, Inc. (HOOD)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</si>
  <si>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</si>
  <si>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</si>
  <si>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</si>
  <si>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</si>
  <si>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</si>
  <si>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</si>
  <si>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</si>
  <si>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</si>
  <si>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</si>
  <si>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</si>
  <si>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</si>
  <si>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</si>
  <si>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</si>
  <si>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</si>
  <si>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</si>
  <si>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</si>
  <si>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</si>
  <si>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</si>
  <si>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</si>
  <si>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</si>
  <si>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</si>
  <si>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</si>
  <si>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</si>
  <si>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</si>
  <si>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</si>
  <si>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</si>
  <si>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</si>
  <si>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</si>
  <si>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</si>
  <si>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</si>
  <si>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</si>
  <si>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</si>
  <si>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</si>
  <si>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</si>
  <si>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</si>
  <si>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</si>
  <si>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</si>
  <si>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</si>
  <si>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</si>
  <si>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</si>
  <si>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</si>
  <si>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</si>
  <si>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</si>
  <si>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</si>
  <si>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</si>
  <si>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</si>
  <si>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</si>
  <si>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</si>
  <si>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</si>
  <si>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</si>
  <si>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</si>
  <si>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</si>
  <si>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</si>
  <si>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</si>
  <si>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</si>
  <si>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</si>
  <si>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</si>
  <si>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</si>
  <si>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</si>
  <si>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not reported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</si>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</sst>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1.9071800000000003</v>
      </c>
    </row>
    <row r="9" spans="1:2" x14ac:dyDescent="0.25">
      <c r="A9" t="s">
        <v>8</v>
      </c>
      <c r="B9" s="8">
        <f>B6+B8*B7</f>
        <v>0.12961371400000002</v>
      </c>
    </row>
    <row r="10" spans="1:2" x14ac:dyDescent="0.25">
      <c r="A10" t="s">
        <v>9</v>
      </c>
      <c r="B10" s="8">
        <f>MEDIAN('Source data'!B9:E9)</f>
        <v>0.21072281959378733</v>
      </c>
    </row>
    <row r="11" spans="1:2" x14ac:dyDescent="0.25">
      <c r="A11" t="s">
        <v>10</v>
      </c>
      <c r="B11" s="8">
        <f>IFERROR(MIN(MAX(MEDIAN('Source data'!B10:E10),0),1),0)</f>
        <v>0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9140000000</v>
      </c>
    </row>
    <row r="15" spans="1:2" x14ac:dyDescent="0.25">
      <c r="A15" t="s">
        <v>14</v>
      </c>
      <c r="B15" s="10">
        <f>'Source data'!B8</f>
        <v>918781846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0.2</v>
      </c>
    </row>
    <row r="18" spans="1:2" x14ac:dyDescent="0.25">
      <c r="A18" t="s">
        <v>17</v>
      </c>
      <c r="B18" s="8">
        <f>MIN(B10,B12)</f>
        <v>0.2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0.2096505376344086</v>
      </c>
      <c r="C22" s="8">
        <f>$B$10+($B$18-$B$10)*C21/$B$16</f>
        <v>0.20857825567502986</v>
      </c>
      <c r="D22" s="8">
        <f>$B$10+($B$18-$B$10)*D21/$B$16</f>
        <v>0.20750597371565113</v>
      </c>
      <c r="E22" s="8">
        <f>$B$10+($B$18-$B$10)*E21/$B$16</f>
        <v>0.2064336917562724</v>
      </c>
      <c r="F22" s="8">
        <f>$B$10+($B$18-$B$10)*F21/$B$16</f>
        <v>0.20536140979689366</v>
      </c>
      <c r="G22" s="8">
        <f>$B$10+($B$18-$B$10)*G21/$B$16</f>
        <v>0.20428912783751493</v>
      </c>
      <c r="H22" s="8">
        <f>$B$10+($B$18-$B$10)*H21/$B$16</f>
        <v>0.2032168458781362</v>
      </c>
      <c r="I22" s="8">
        <f>$B$10+($B$18-$B$10)*I21/$B$16</f>
        <v>0.20214456391875749</v>
      </c>
      <c r="J22" s="8">
        <f>$B$10+($B$18-$B$10)*J21/$B$16</f>
        <v>0.20107228195937873</v>
      </c>
      <c r="K22" s="8">
        <f>$B$10+($B$18-$B$10)*K21/$B$16</f>
        <v>0.2</v>
      </c>
    </row>
    <row r="23" spans="1:11" x14ac:dyDescent="0.25">
      <c r="A23" t="s">
        <v>31</v>
      </c>
      <c r="B23" s="8">
        <f>$B$17+($B$13-$B$17)*B21/$B$16</f>
        <v>0.1825</v>
      </c>
      <c r="C23" s="8">
        <f>$B$17+($B$13-$B$17)*C21/$B$16</f>
        <v>0.165</v>
      </c>
      <c r="D23" s="8">
        <f>$B$17+($B$13-$B$17)*D21/$B$16</f>
        <v>0.14750000000000002</v>
      </c>
      <c r="E23" s="8">
        <f>$B$17+($B$13-$B$17)*E21/$B$16</f>
        <v>0.13</v>
      </c>
      <c r="F23" s="8">
        <f>$B$17+($B$13-$B$17)*F21/$B$16</f>
        <v>0.1125</v>
      </c>
      <c r="G23" s="8">
        <f>$B$17+($B$13-$B$17)*G21/$B$16</f>
        <v>0.095</v>
      </c>
      <c r="H23" s="8">
        <f>$B$17+($B$13-$B$17)*H21/$B$16</f>
        <v>0.07750000000000001</v>
      </c>
      <c r="I23" s="8">
        <f>$B$17+($B$13-$B$17)*I21/$B$16</f>
        <v>0.06</v>
      </c>
      <c r="J23" s="8">
        <f>$B$17+($B$13-$B$17)*J21/$B$16</f>
        <v>0.04249999999999998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9140000000</v>
      </c>
      <c r="C24" s="9">
        <f>B24*(1+B23)</f>
        <v>10808049999.999998</v>
      </c>
      <c r="D24" s="9">
        <f>C24*(1+C23)</f>
        <v>12591378249.999998</v>
      </c>
      <c r="E24" s="9">
        <f>D24*(1+D23)</f>
        <v>14448606541.874998</v>
      </c>
      <c r="F24" s="9">
        <f>E24*(1+E23)</f>
        <v>16326925392.318747</v>
      </c>
      <c r="G24" s="9">
        <f>F24*(1+F23)</f>
        <v>18163704498.954605</v>
      </c>
      <c r="H24" s="9">
        <f>G24*(1+G23)</f>
        <v>19889256426.355293</v>
      </c>
      <c r="I24" s="9">
        <f>H24*(1+H23)</f>
        <v>21430673799.397827</v>
      </c>
      <c r="J24" s="9">
        <f>I24*(1+I23)</f>
        <v>22716514227.3617</v>
      </c>
      <c r="K24" s="9">
        <f>J24*(1+J23)</f>
        <v>23681966082.02457</v>
      </c>
    </row>
    <row r="25" spans="1:11" x14ac:dyDescent="0.25">
      <c r="A25" t="s">
        <v>33</v>
      </c>
      <c r="B25" s="9">
        <f>(B22-$B$9)*B24</f>
        <v>731536568.0184945</v>
      </c>
      <c r="C25" s="9">
        <f>(C22-$B$9)*C24</f>
        <v>853452714.6508061</v>
      </c>
      <c r="D25" s="9">
        <f>(D22-$B$9)*D24</f>
        <v>980770904.8270005</v>
      </c>
      <c r="E25" s="9">
        <f>(E22-$B$9)*E24</f>
        <v>1109941633.1559691</v>
      </c>
      <c r="F25" s="9">
        <f>(F22-$B$9)*F24</f>
        <v>1236726977.9159386</v>
      </c>
      <c r="G25" s="9">
        <f>(G22-$B$9)*G24</f>
        <v>1356382150.2817667</v>
      </c>
      <c r="H25" s="9">
        <f>(H22-$B$9)*H24</f>
        <v>1463911563.7070963</v>
      </c>
      <c r="I25" s="9">
        <f>(I22-$B$9)*I24</f>
        <v>1554384985.0019717</v>
      </c>
      <c r="J25" s="9">
        <f>(J22-$B$9)*J24</f>
        <v>1623289575.7161193</v>
      </c>
      <c r="K25" s="9">
        <f>(K22-$B$9)*K24</f>
        <v>1666885637.6916807</v>
      </c>
    </row>
    <row r="26" spans="1:11" x14ac:dyDescent="0.25">
      <c r="A26" t="s">
        <v>34</v>
      </c>
      <c r="B26" s="14">
        <f>1/(1+$B$9)^B21</f>
        <v>0.8852583742622657</v>
      </c>
      <c r="C26" s="14">
        <f>1/(1+$B$9)^C21</f>
        <v>0.7836823892014698</v>
      </c>
      <c r="D26" s="14">
        <f>1/(1+$B$9)^D21</f>
        <v>0.6937613978024614</v>
      </c>
      <c r="E26" s="14">
        <f>1/(1+$B$9)^E21</f>
        <v>0.6141580871445239</v>
      </c>
      <c r="F26" s="14">
        <f>1/(1+$B$9)^F21</f>
        <v>0.5436885897655842</v>
      </c>
      <c r="G26" s="14">
        <f>1/(1+$B$9)^G21</f>
        <v>0.481304877080825</v>
      </c>
      <c r="H26" s="14">
        <f>1/(1+$B$9)^H21</f>
        <v>0.4260791730090708</v>
      </c>
      <c r="I26" s="14">
        <f>1/(1+$B$9)^I21</f>
        <v>0.3771901560050206</v>
      </c>
      <c r="J26" s="14">
        <f>1/(1+$B$9)^J21</f>
        <v>0.33391074429273493</v>
      </c>
      <c r="K26" s="14">
        <f>1/(1+$B$9)^K21</f>
        <v>0.29559728264128965</v>
      </c>
    </row>
    <row r="27" spans="1:11" x14ac:dyDescent="0.25">
      <c r="A27" s="15" t="s">
        <v>35</v>
      </c>
      <c r="B27" s="16">
        <f>B25*B26</f>
        <v>647598872.9174498</v>
      </c>
      <c r="C27" s="16">
        <f>C25*C26</f>
        <v>668835862.488024</v>
      </c>
      <c r="D27" s="16">
        <f>D25*D26</f>
        <v>680420993.8567647</v>
      </c>
      <c r="E27" s="16">
        <f>E25*E26</f>
        <v>681679630.2611389</v>
      </c>
      <c r="F27" s="16">
        <f>F25*F26</f>
        <v>672394346.5481695</v>
      </c>
      <c r="G27" s="16">
        <f>G25*G26</f>
        <v>652833344.1159908</v>
      </c>
      <c r="H27" s="16">
        <f>H25*H26</f>
        <v>623742228.4227352</v>
      </c>
      <c r="I27" s="16">
        <f>I25*I26</f>
        <v>586298714.9847553</v>
      </c>
      <c r="J27" s="16">
        <f>J25*J26</f>
        <v>542033830.4300073</v>
      </c>
      <c r="K27" s="16">
        <f>K25*K26</f>
        <v>492726864.9754541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9140000000</v>
      </c>
    </row>
    <row r="31" spans="1:2" x14ac:dyDescent="0.25">
      <c r="A31" t="s">
        <v>38</v>
      </c>
      <c r="B31" s="9">
        <f>SUM(B27:K27)</f>
        <v>6248564689.00049</v>
      </c>
    </row>
    <row r="32" spans="1:2" x14ac:dyDescent="0.25">
      <c r="A32" t="s">
        <v>39</v>
      </c>
      <c r="B32" s="9">
        <f>K24*(1+K23)</f>
        <v>24274015234.075184</v>
      </c>
    </row>
    <row r="33" spans="1:2" x14ac:dyDescent="0.25">
      <c r="A33" t="s">
        <v>40</v>
      </c>
      <c r="B33" s="9">
        <f>(B18-B9)*B32</f>
        <v>1708557778.6339726</v>
      </c>
    </row>
    <row r="34" spans="1:2" x14ac:dyDescent="0.25">
      <c r="A34" t="s">
        <v>41</v>
      </c>
      <c r="B34" s="9">
        <f>B33/(B9-B13)</f>
        <v>16332063104.403044</v>
      </c>
    </row>
    <row r="35" spans="1:2" x14ac:dyDescent="0.25">
      <c r="A35" t="s">
        <v>42</v>
      </c>
      <c r="B35" s="9">
        <f>B34*K26</f>
        <v>4827713473.587605</v>
      </c>
    </row>
    <row r="36" spans="1:2" x14ac:dyDescent="0.25">
      <c r="A36" s="15" t="s">
        <v>43</v>
      </c>
      <c r="B36" s="16">
        <f>B30+B31+B35</f>
        <v>20216278162.588097</v>
      </c>
    </row>
    <row r="37" spans="1:2" x14ac:dyDescent="0.25">
      <c r="A37" s="15" t="s">
        <v>44</v>
      </c>
      <c r="B37" s="17">
        <f>B36/B15</f>
        <v>22.00334959882098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84.99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22.00334959882098</v>
      </c>
    </row>
    <row r="43" spans="1:2" x14ac:dyDescent="0.25">
      <c r="A43" s="15" t="s">
        <v>48</v>
      </c>
      <c r="B43" s="21">
        <f>B42/B40-1</f>
        <v>-0.7411066054968705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1883000000</v>
      </c>
      <c r="C5" s="9">
        <v>1411000000</v>
      </c>
      <c r="D5" s="9">
        <v>-541000000</v>
      </c>
      <c r="E5" s="9">
        <v>-1028000000</v>
      </c>
      <c r="F5" s="6" t="s">
        <v>57</v>
      </c>
    </row>
    <row r="6" spans="1:6" x14ac:dyDescent="0.25">
      <c r="A6" t="s">
        <v>37</v>
      </c>
      <c r="B6" s="9">
        <v>9140000000</v>
      </c>
      <c r="C6" s="9">
        <v>7972000000</v>
      </c>
      <c r="D6" s="9">
        <v>6696000000</v>
      </c>
      <c r="E6" s="9">
        <v>6956000000</v>
      </c>
      <c r="F6" s="6" t="s">
        <v>58</v>
      </c>
    </row>
    <row r="7" spans="1:6" x14ac:dyDescent="0.25">
      <c r="A7" t="s">
        <v>59</v>
      </c>
      <c r="B7" s="9"/>
      <c r="C7" s="9"/>
      <c r="D7" s="9"/>
      <c r="E7" s="9"/>
      <c r="F7" s="6" t="s">
        <v>60</v>
      </c>
    </row>
    <row r="8" spans="1:6" x14ac:dyDescent="0.25">
      <c r="A8" t="s">
        <v>14</v>
      </c>
      <c r="B8" s="10">
        <v>918781846</v>
      </c>
      <c r="C8" s="10">
        <v>906171504</v>
      </c>
      <c r="D8" s="10">
        <v>890857659</v>
      </c>
      <c r="E8" s="10">
        <v>878630024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0.23620170597089815</v>
      </c>
      <c r="C9" s="8">
        <f>IF(AND(ISNUMBER(C5),N(D6)&gt;0),C5/D6,"")</f>
        <v>0.21072281959378733</v>
      </c>
      <c r="D9" s="8">
        <f>IF(AND(ISNUMBER(D5),N(E6)&gt;0),D5/E6,"")</f>
        <v>-0.07777458309373203</v>
      </c>
      <c r="E9" s="8" t="str">
        <f>""</f>
        <v/>
      </c>
    </row>
    <row r="10" spans="1:5" x14ac:dyDescent="0.25">
      <c r="A10" t="s">
        <v>63</v>
      </c>
      <c r="B10" s="8" t="str">
        <f>IF(AND(ISNUMBER(B9),N(B5)&gt;0,ISNUMBER(B7)),B7/B5,"")</f>
        <v/>
      </c>
      <c r="C10" s="8" t="str">
        <f>IF(AND(ISNUMBER(C9),N(C5)&gt;0,ISNUMBER(C7)),C7/C5,"")</f>
        <v/>
      </c>
      <c r="D10" s="8" t="str">
        <f>IF(AND(ISNUMBER(D9),N(D5)&gt;0,ISNUMBER(D7)),D7/D5,"")</f>
        <v/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