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<sst xmlns="http://schemas.openxmlformats.org/spreadsheetml/2006/main" count="120" uniqueCount="107">
  <si>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Hewlett Packard Enterprise Company (HPE)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</si>
  <si>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</si>
  <si>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</si>
  <si>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</si>
  <si>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</si>
  <si>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</si>
  <si>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</si>
  <si>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</si>
  <si>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</si>
  <si>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</si>
  <si>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</si>
  <si>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</si>
  <si>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</si>
  <si>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</si>
  <si>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</si>
  <si>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</si>
  <si>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</si>
  <si>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</si>
  <si>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</si>
  <si>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</si>
  <si>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</si>
  <si>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</si>
  <si>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</si>
  <si>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</si>
  <si>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</si>
  <si>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</si>
  <si>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</si>
  <si>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</si>
  <si>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</si>
  <si>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</si>
  <si>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</si>
  <si>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</si>
  <si>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</si>
  <si>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</si>
  <si>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</si>
  <si>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</si>
  <si>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</si>
  <si>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</si>
  <si>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</si>
  <si>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</si>
  <si>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</si>
  <si>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</si>
  <si>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</si>
  <si>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</si>
  <si>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</si>
  <si>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</si>
  <si>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</si>
  <si>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</si>
  <si>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</si>
  <si>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</si>
  <si>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</si>
  <si>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</si>
  <si>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</si>
  <si>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</si>
  <si>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</si>
  <si>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</si>
  <si>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</si>
  <si>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</si>
  <si>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</si>
  <si>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</si>
  <si>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</si>
  <si>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</si>
  <si>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</si>
  <si>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</si>
  <si>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</si>
  <si>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</si>
  <si>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</si>
  <si>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</si>
  <si>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</si>
  <si>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</si>
  <si>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</si>
  <si>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</si>
  <si>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</si>
  <si>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</si>
  <si>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</si>
  <si>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</si>
  <si>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</si>
  <si>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</si>
  <si>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</si>
  <si>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</si>
  <si>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</si>
  <si>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</si>
  <si>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</si>
  <si>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</si>
  <si>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</si>
  <si>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</si>
  <si>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</si>
  <si>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</si>
  <si>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</si>
  <si>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</si>
  <si>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</si>
  <si>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</si>
  <si>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</si>
  <si>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</si>
  <si>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</si>
  <si>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</si>
  <si>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</si>
  <si>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</si>
  <si>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</si>
  <si>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</si>
  <si>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</si>
  <si>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</si>
  <si>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</si>
  <si>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</si>
  <si>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</si>
  <si>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20.9x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</si>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</sst>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0.3578389995917892</v>
      </c>
    </row>
    <row r="7" spans="1:2" x14ac:dyDescent="0.25">
      <c r="A7" t="s">
        <v>4</v>
      </c>
      <c r="B7" s="5">
        <v>0.07317163496801142</v>
      </c>
    </row>
    <row r="8" spans="1:2" x14ac:dyDescent="0.25">
      <c r="A8" t="s">
        <v>5</v>
      </c>
      <c r="B8" s="5">
        <v>0.09192825112107623</v>
      </c>
    </row>
    <row r="9" spans="1:2" x14ac:dyDescent="0.25">
      <c r="A9" t="s">
        <v>6</v>
      </c>
      <c r="B9" s="5">
        <v>0.08543257007954322</v>
      </c>
    </row>
    <row r="10" spans="1:3" x14ac:dyDescent="0.25">
      <c r="A10" t="s">
        <v>7</v>
      </c>
      <c r="B10" s="5">
        <v>0.08800549267231524</v>
      </c>
      <c r="C10" s="6" t="s">
        <v>8</v>
      </c>
    </row>
    <row r="11" spans="1:2" x14ac:dyDescent="0.25">
      <c r="A11" t="s">
        <v>9</v>
      </c>
      <c r="B11" s="5">
        <v>0.018144634717067162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0.09276062870539772</v>
      </c>
      <c r="C14" s="6" t="s">
        <v>13</v>
      </c>
    </row>
    <row r="15" spans="1:3" x14ac:dyDescent="0.25">
      <c r="A15" t="s">
        <v>14</v>
      </c>
      <c r="B15" s="5">
        <v>0.08543257007954322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1.27068</v>
      </c>
      <c r="C19" s="6" t="s">
        <v>21</v>
      </c>
    </row>
    <row r="20" spans="1:2" x14ac:dyDescent="0.25">
      <c r="A20" t="s">
        <v>22</v>
      </c>
      <c r="B20" s="9">
        <f>B17+B19*B18</f>
        <v>0.102689764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73130041344</v>
      </c>
    </row>
    <row r="23" spans="1:2" x14ac:dyDescent="0.25">
      <c r="A23" t="s">
        <v>26</v>
      </c>
      <c r="B23" s="10">
        <v>24077000000</v>
      </c>
    </row>
    <row r="24" spans="1:2" x14ac:dyDescent="0.25">
      <c r="A24" t="s">
        <v>27</v>
      </c>
      <c r="B24" s="9">
        <f>B22/(B22+B23)</f>
        <v>0.7523121816371781</v>
      </c>
    </row>
    <row r="25" spans="1:2" x14ac:dyDescent="0.25">
      <c r="A25" t="s">
        <v>28</v>
      </c>
      <c r="B25" s="9">
        <f>1-B24</f>
        <v>0.24768781836282194</v>
      </c>
    </row>
    <row r="26" spans="1:2" x14ac:dyDescent="0.25">
      <c r="A26" t="s">
        <v>29</v>
      </c>
      <c r="B26" s="11">
        <f>B24*B20+B25*B21*(1-B8)</f>
        <v>0.09276062870539772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34296000000</v>
      </c>
      <c r="C29" s="6" t="s">
        <v>32</v>
      </c>
    </row>
    <row r="30" spans="1:2" x14ac:dyDescent="0.25">
      <c r="A30" t="s">
        <v>33</v>
      </c>
      <c r="B30" s="10">
        <v>18304000000</v>
      </c>
    </row>
    <row r="31" spans="1:2" x14ac:dyDescent="0.25">
      <c r="A31" t="s">
        <v>34</v>
      </c>
      <c r="B31" s="12">
        <v>1324000000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0.3578389995917892</v>
      </c>
      <c r="C5" s="5">
        <v>0.17482467167377358</v>
      </c>
      <c r="D5" s="5">
        <v>0.15609658771455187</v>
      </c>
      <c r="E5" s="5">
        <v>0.1373685037553302</v>
      </c>
      <c r="F5" s="5">
        <v>0.11864041979610848</v>
      </c>
      <c r="G5" s="5">
        <v>0.09991233583688679</v>
      </c>
      <c r="H5" s="5">
        <v>0.08118425187766509</v>
      </c>
      <c r="I5" s="5">
        <v>0.062456167918443384</v>
      </c>
      <c r="J5" s="5">
        <v>0.0437280839592217</v>
      </c>
      <c r="K5" s="5">
        <v>0.024999999999999994</v>
      </c>
    </row>
    <row r="6" spans="1:11" x14ac:dyDescent="0.25">
      <c r="A6" t="s">
        <v>50</v>
      </c>
      <c r="B6" s="18">
        <f>Assumptions!B29*(1+B5)</f>
        <v>46568446330</v>
      </c>
      <c r="C6" s="18">
        <f>B6*(1+C5)</f>
        <v>54709759670</v>
      </c>
      <c r="D6" s="18">
        <f>C6*(1+D5)</f>
        <v>63249766469.17021</v>
      </c>
      <c r="E6" s="18">
        <f>D6*(1+E5)</f>
        <v>71938292251.91418</v>
      </c>
      <c r="F6" s="18">
        <f>E6*(1+F5)</f>
        <v>80473081444.09642</v>
      </c>
      <c r="G6" s="18">
        <f>F6*(1+G5)</f>
        <v>88513334983.16812</v>
      </c>
      <c r="H6" s="18">
        <f>G6*(1+H5)</f>
        <v>95699223864.97379</v>
      </c>
      <c r="I6" s="18">
        <f>H6*(1+I5)</f>
        <v>101676230660.3493</v>
      </c>
      <c r="J6" s="18">
        <f>I6*(1+J5)</f>
        <v>106122337411.32227</v>
      </c>
      <c r="K6" s="18">
        <f>J6*(1+K5)</f>
        <v>108775395846.60532</v>
      </c>
    </row>
    <row r="7" spans="1:11" x14ac:dyDescent="0.25">
      <c r="A7" t="s">
        <v>4</v>
      </c>
      <c r="B7" s="9">
        <f>Assumptions!B7</f>
        <v>0.07317163496801142</v>
      </c>
      <c r="C7" s="9">
        <f>Assumptions!B7</f>
        <v>0.07317163496801142</v>
      </c>
      <c r="D7" s="9">
        <f>Assumptions!B7</f>
        <v>0.07317163496801142</v>
      </c>
      <c r="E7" s="9">
        <f>Assumptions!B7</f>
        <v>0.07317163496801142</v>
      </c>
      <c r="F7" s="9">
        <f>Assumptions!B7</f>
        <v>0.07317163496801142</v>
      </c>
      <c r="G7" s="9">
        <f>Assumptions!B7</f>
        <v>0.07317163496801142</v>
      </c>
      <c r="H7" s="9">
        <f>Assumptions!B7</f>
        <v>0.07317163496801142</v>
      </c>
      <c r="I7" s="9">
        <f>Assumptions!B7</f>
        <v>0.07317163496801142</v>
      </c>
      <c r="J7" s="9">
        <f>Assumptions!B7</f>
        <v>0.07317163496801142</v>
      </c>
      <c r="K7" s="9">
        <f>Assumptions!B7</f>
        <v>0.07317163496801142</v>
      </c>
    </row>
    <row r="8" spans="1:11" x14ac:dyDescent="0.25">
      <c r="A8" t="s">
        <v>51</v>
      </c>
      <c r="B8" s="18">
        <f>B6*B7</f>
        <v>3407489355.886191</v>
      </c>
      <c r="C8" s="18">
        <f>C6*C7</f>
        <v>4003202563.760873</v>
      </c>
      <c r="D8" s="18">
        <f>D6*D7</f>
        <v>4628088823.894092</v>
      </c>
      <c r="E8" s="18">
        <f>E6*E7</f>
        <v>5263842460.879189</v>
      </c>
      <c r="F8" s="18">
        <f>F6*F7</f>
        <v>5888346940.178476</v>
      </c>
      <c r="G8" s="18">
        <f>G6*G7</f>
        <v>6476665437.189693</v>
      </c>
      <c r="H8" s="18">
        <f>H6*H7</f>
        <v>7002468675.369869</v>
      </c>
      <c r="I8" s="18">
        <f>I6*I7</f>
        <v>7439816034.80241</v>
      </c>
      <c r="J8" s="18">
        <f>J6*J7</f>
        <v>7765144935.013414</v>
      </c>
      <c r="K8" s="18">
        <f>K6*K7</f>
        <v>7959273558.38875</v>
      </c>
    </row>
    <row r="9" spans="1:11" x14ac:dyDescent="0.25">
      <c r="A9" t="s">
        <v>52</v>
      </c>
      <c r="B9" s="18">
        <f>B8*(1-Assumptions!B8)</f>
        <v>3094244818.6858907</v>
      </c>
      <c r="C9" s="18">
        <f>C8*(1-Assumptions!B8)</f>
        <v>3635195153.190927</v>
      </c>
      <c r="D9" s="18">
        <f>D8*(1-Assumptions!B8)</f>
        <v>4202636712.280509</v>
      </c>
      <c r="E9" s="18">
        <f>E8*(1-Assumptions!B8)</f>
        <v>4779946629.273703</v>
      </c>
      <c r="F9" s="18">
        <f>F8*(1-Assumptions!B8)</f>
        <v>5347041503.973728</v>
      </c>
      <c r="G9" s="18">
        <f>G8*(1-Assumptions!B8)</f>
        <v>5881276910.452524</v>
      </c>
      <c r="H9" s="18">
        <f>H8*(1-Assumptions!B8)</f>
        <v>6358743976.512998</v>
      </c>
      <c r="I9" s="18">
        <f>I8*(1-Assumptions!B8)</f>
        <v>6755886758.060484</v>
      </c>
      <c r="J9" s="18">
        <f>J8*(1-Assumptions!B8)</f>
        <v>7051308741.435947</v>
      </c>
      <c r="K9" s="18">
        <f>K8*(1-Assumptions!B8)</f>
        <v>7227591459.971847</v>
      </c>
    </row>
    <row r="10" spans="1:11" x14ac:dyDescent="0.25">
      <c r="A10" t="s">
        <v>53</v>
      </c>
      <c r="B10" s="18">
        <f>B6*Assumptions!B9</f>
        <v>3978462054.5831723</v>
      </c>
      <c r="C10" s="18">
        <f>C6*Assumptions!B9</f>
        <v>4673995377.042242</v>
      </c>
      <c r="D10" s="18">
        <f>D6*Assumptions!B9</f>
        <v>5403590106.392127</v>
      </c>
      <c r="E10" s="18">
        <f>E6*Assumptions!B9</f>
        <v>6145873194.214319</v>
      </c>
      <c r="F10" s="18">
        <f>F6*Assumptions!B9</f>
        <v>6875022169.989556</v>
      </c>
      <c r="G10" s="18">
        <f>G6*Assumptions!B9</f>
        <v>7561921693.923594</v>
      </c>
      <c r="H10" s="18">
        <f>H6*Assumptions!B9</f>
        <v>8175830649.402267</v>
      </c>
      <c r="I10" s="18">
        <f>I6*Assumptions!B9</f>
        <v>8686461701.314093</v>
      </c>
      <c r="J10" s="18">
        <f>J6*Assumptions!B9</f>
        <v>9066304027.89772</v>
      </c>
      <c r="K10" s="18">
        <f>K6*Assumptions!B9</f>
        <v>9292961628.595163</v>
      </c>
    </row>
    <row r="11" spans="1:11" x14ac:dyDescent="0.25">
      <c r="A11" t="s">
        <v>54</v>
      </c>
      <c r="B11" s="18">
        <f>-B6*B19</f>
        <v>-4098279062.2559204</v>
      </c>
      <c r="C11" s="18">
        <f>-C6*C19</f>
        <v>-4907977211.526881</v>
      </c>
      <c r="D11" s="18">
        <f>-D6*D19</f>
        <v>-5781864554.12581</v>
      </c>
      <c r="E11" s="18">
        <f>-E6*E19</f>
        <v>-6698683529.445725</v>
      </c>
      <c r="F11" s="18">
        <f>-F6*F19</f>
        <v>-7630533147.49824</v>
      </c>
      <c r="G11" s="18">
        <f>-G6*G19</f>
        <v>-8543732009.116131</v>
      </c>
      <c r="H11" s="18">
        <f>-H6*H19</f>
        <v>-9400406731.70434</v>
      </c>
      <c r="I11" s="18">
        <f>-I6*I19</f>
        <v>-10160762336.493553</v>
      </c>
      <c r="J11" s="18">
        <f>-J6*J19</f>
        <v>-10785890778.978065</v>
      </c>
      <c r="K11" s="18">
        <f>-K6*K19</f>
        <v>-11240876266.745754</v>
      </c>
    </row>
    <row r="12" spans="1:11" x14ac:dyDescent="0.25">
      <c r="A12" t="s">
        <v>55</v>
      </c>
      <c r="B12" s="18">
        <f>-(B6-Assumptions!B29)*Assumptions!B11</f>
        <v>-222679055.74266148</v>
      </c>
      <c r="C12" s="18">
        <f>-(C6-B6)*Assumptions!B11</f>
        <v>-147721156.67148602</v>
      </c>
      <c r="D12" s="18">
        <f>-(D6-C6)*Assumptions!B11</f>
        <v>-154955303.85221344</v>
      </c>
      <c r="E12" s="18">
        <f>-(E6-D6)*Assumptions!B11</f>
        <v>-157650126.55770943</v>
      </c>
      <c r="F12" s="18">
        <f>-(F6-E6)*Assumptions!B11</f>
        <v>-154860632.2793194</v>
      </c>
      <c r="G12" s="18">
        <f>-(G6-F6)*Assumptions!B11</f>
        <v>-145887463.4990625</v>
      </c>
      <c r="H12" s="18">
        <f>-(H6-G6)*Assumptions!B11</f>
        <v>-130385328.87779798</v>
      </c>
      <c r="I12" s="18">
        <f>-(I6-H6)*Assumptions!B11</f>
        <v>-108450605.00351699</v>
      </c>
      <c r="J12" s="18">
        <f>-(J6-I6)*Assumptions!B11</f>
        <v>-80672982.90949067</v>
      </c>
      <c r="K12" s="18">
        <f>-(K6-J6)*Assumptions!B11</f>
        <v>-48138776.19124472</v>
      </c>
    </row>
    <row r="13" spans="1:11" x14ac:dyDescent="0.25">
      <c r="A13" s="19" t="s">
        <v>56</v>
      </c>
      <c r="B13" s="20">
        <f>B9+B10+B11+B12</f>
        <v>2751748755.270481</v>
      </c>
      <c r="C13" s="20">
        <f>C9+C10+C11+C12</f>
        <v>3253492162.0348024</v>
      </c>
      <c r="D13" s="20">
        <f>D9+D10+D11+D12</f>
        <v>3669406960.694613</v>
      </c>
      <c r="E13" s="20">
        <f>E9+E10+E11+E12</f>
        <v>4069486167.484587</v>
      </c>
      <c r="F13" s="20">
        <f>F9+F10+F11+F12</f>
        <v>4436669894.185723</v>
      </c>
      <c r="G13" s="20">
        <f>G9+G10+G11+G12</f>
        <v>4753579131.760924</v>
      </c>
      <c r="H13" s="20">
        <f>H9+H10+H11+H12</f>
        <v>5003782565.333126</v>
      </c>
      <c r="I13" s="20">
        <f>I9+I10+I11+I12</f>
        <v>5173135517.877506</v>
      </c>
      <c r="J13" s="20">
        <f>J9+J10+J11+J12</f>
        <v>5251049007.446112</v>
      </c>
      <c r="K13" s="20">
        <f>K9+K10+K11+K12</f>
        <v>5231538045.63001</v>
      </c>
    </row>
    <row r="14" spans="1:11" x14ac:dyDescent="0.25">
      <c r="A14" t="s">
        <v>57</v>
      </c>
      <c r="B14" s="21">
        <f>1/(1+Assumptions!$B$26)^(1-0.5*Assumptions!$B$32)</f>
        <v>0.9566156473257809</v>
      </c>
      <c r="C14" s="21">
        <f>1/(1+Assumptions!$B$26)^(2-0.5*Assumptions!$B$32)</f>
        <v>0.875411890030382</v>
      </c>
      <c r="D14" s="21">
        <f>1/(1+Assumptions!$B$26)^(3-0.5*Assumptions!$B$32)</f>
        <v>0.8011012357459195</v>
      </c>
      <c r="E14" s="21">
        <f>1/(1+Assumptions!$B$26)^(4-0.5*Assumptions!$B$32)</f>
        <v>0.7330985530609669</v>
      </c>
      <c r="F14" s="21">
        <f>1/(1+Assumptions!$B$26)^(5-0.5*Assumptions!$B$32)</f>
        <v>0.6708683803235798</v>
      </c>
      <c r="G14" s="21">
        <f>1/(1+Assumptions!$B$26)^(6-0.5*Assumptions!$B$32)</f>
        <v>0.613920709349094</v>
      </c>
      <c r="H14" s="21">
        <f>1/(1+Assumptions!$B$26)^(7-0.5*Assumptions!$B$32)</f>
        <v>0.5618071270342261</v>
      </c>
      <c r="I14" s="21">
        <f>1/(1+Assumptions!$B$26)^(8-0.5*Assumptions!$B$32)</f>
        <v>0.5141172844960598</v>
      </c>
      <c r="J14" s="21">
        <f>1/(1+Assumptions!$B$26)^(9-0.5*Assumptions!$B$32)</f>
        <v>0.4704756659334795</v>
      </c>
      <c r="K14" s="21">
        <f>1/(1+Assumptions!$B$26)^(10-0.5*Assumptions!$B$32)</f>
        <v>0.4305386317686572</v>
      </c>
    </row>
    <row r="15" spans="1:11" x14ac:dyDescent="0.25">
      <c r="A15" s="19" t="s">
        <v>58</v>
      </c>
      <c r="B15" s="20">
        <f>B13*B14</f>
        <v>2632365916.800983</v>
      </c>
      <c r="C15" s="20">
        <f>C13*C14</f>
        <v>2848145722.76592</v>
      </c>
      <c r="D15" s="20">
        <f>D13*D14</f>
        <v>2939566450.6671333</v>
      </c>
      <c r="E15" s="20">
        <f>E13*E14</f>
        <v>2983334421.0845704</v>
      </c>
      <c r="F15" s="20">
        <f>F13*F14</f>
        <v>2976421545.9427643</v>
      </c>
      <c r="G15" s="20">
        <f>G13*G14</f>
        <v>2918320672.5177174</v>
      </c>
      <c r="H15" s="20">
        <f>H13*H14</f>
        <v>2811160707.333753</v>
      </c>
      <c r="I15" s="20">
        <f>I13*I14</f>
        <v>2659598384.7813015</v>
      </c>
      <c r="J15" s="20">
        <f>J13*J14</f>
        <v>2470490778.627546</v>
      </c>
      <c r="K15" s="20">
        <f>K13*K14</f>
        <v>2252379232.2112193</v>
      </c>
    </row>
    <row r="17" spans="1:2" x14ac:dyDescent="0.25">
      <c r="A17" s="22" t="s">
        <v>59</v>
      </c>
      <c r="B17" s="23">
        <f>SUM(B15:K15)</f>
        <v>27491783832.732906</v>
      </c>
    </row>
    <row r="19" spans="1:11" x14ac:dyDescent="0.25">
      <c r="A19" t="s">
        <v>7</v>
      </c>
      <c r="B19" s="9">
        <f>Assumptions!$B$10+($B$20-Assumptions!$B$10)*0/9</f>
        <v>0.08800549267231524</v>
      </c>
      <c r="C19" s="9">
        <f>Assumptions!$B$10+($B$20-Assumptions!$B$10)*1/9</f>
        <v>0.08970935425655255</v>
      </c>
      <c r="D19" s="9">
        <f>Assumptions!$B$10+($B$20-Assumptions!$B$10)*2/9</f>
        <v>0.09141321584078986</v>
      </c>
      <c r="E19" s="9">
        <f>Assumptions!$B$10+($B$20-Assumptions!$B$10)*3/9</f>
        <v>0.09311707742502717</v>
      </c>
      <c r="F19" s="9">
        <f>Assumptions!$B$10+($B$20-Assumptions!$B$10)*4/9</f>
        <v>0.09482093900926448</v>
      </c>
      <c r="G19" s="9">
        <f>Assumptions!$B$10+($B$20-Assumptions!$B$10)*5/9</f>
        <v>0.09652480059350181</v>
      </c>
      <c r="H19" s="9">
        <f>Assumptions!$B$10+($B$20-Assumptions!$B$10)*6/9</f>
        <v>0.09822866217773912</v>
      </c>
      <c r="I19" s="9">
        <f>Assumptions!$B$10+($B$20-Assumptions!$B$10)*7/9</f>
        <v>0.09993252376197644</v>
      </c>
      <c r="J19" s="9">
        <f>Assumptions!$B$10+($B$20-Assumptions!$B$10)*8/9</f>
        <v>0.10163638534621375</v>
      </c>
      <c r="K19" s="9">
        <f>Assumptions!$B$10+($B$20-Assumptions!$B$10)*9/9</f>
        <v>0.10334024693045106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0.10334024693045106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5231538045.63001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7227591459.971847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0.2695108943191677</v>
      </c>
    </row>
    <row r="7" spans="1:2" x14ac:dyDescent="0.25">
      <c r="A7" t="s">
        <v>66</v>
      </c>
      <c r="B7" s="18">
        <f>-MAX(B5,0)*B6</f>
        <v>-1947914638.1505914</v>
      </c>
    </row>
    <row r="8" spans="1:2" x14ac:dyDescent="0.25">
      <c r="A8" t="s">
        <v>67</v>
      </c>
      <c r="B8" s="18">
        <f>IF(OR(Assumptions!$B$33=0,Assumptions!B12&lt;=0),B5,MAX(B5+B7,0))</f>
        <v>5279676821.821255</v>
      </c>
    </row>
    <row r="9" spans="1:2" x14ac:dyDescent="0.25">
      <c r="A9" t="s">
        <v>68</v>
      </c>
      <c r="B9" s="18">
        <f>B8*(1+Assumptions!B12)/(Assumptions!B26-Assumptions!B12)</f>
        <v>79864500164.17422</v>
      </c>
    </row>
    <row r="10" spans="1:2" x14ac:dyDescent="0.25">
      <c r="A10" t="s">
        <v>69</v>
      </c>
      <c r="B10" s="18">
        <f>B9/(1+Assumptions!B26)^(10-0.5*Assumptions!B32)</f>
        <v>34384752627.571266</v>
      </c>
    </row>
    <row r="11" spans="1:2" x14ac:dyDescent="0.25">
      <c r="A11" t="s">
        <v>70</v>
      </c>
      <c r="B11" s="18">
        <f>Forecast!B17+B10</f>
        <v>61876536460.30417</v>
      </c>
    </row>
    <row r="12" spans="1:2" x14ac:dyDescent="0.25">
      <c r="A12" t="s">
        <v>71</v>
      </c>
      <c r="B12" s="18">
        <f>-Assumptions!B30</f>
        <v>-18304000000</v>
      </c>
    </row>
    <row r="13" spans="1:2" x14ac:dyDescent="0.25">
      <c r="A13" t="s">
        <v>72</v>
      </c>
      <c r="B13" s="18">
        <f>B11+B12</f>
        <v>43572536460.30417</v>
      </c>
    </row>
    <row r="14" spans="1:2" x14ac:dyDescent="0.25">
      <c r="A14" s="19" t="s">
        <v>73</v>
      </c>
      <c r="B14" s="24">
        <f>B13/Assumptions!B31</f>
        <v>32.909770740411005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17252235186.983913</v>
      </c>
    </row>
    <row r="18" spans="1:2" x14ac:dyDescent="0.25">
      <c r="A18" t="s">
        <v>68</v>
      </c>
      <c r="B18" s="18">
        <f>B17*Assumptions!B13</f>
        <v>345044703739.6783</v>
      </c>
    </row>
    <row r="19" spans="1:2" x14ac:dyDescent="0.25">
      <c r="A19" t="s">
        <v>69</v>
      </c>
      <c r="B19" s="18">
        <f>B18/(1+Assumptions!B26)^(10-0.5*Assumptions!B32)</f>
        <v>148555074647.10275</v>
      </c>
    </row>
    <row r="20" spans="1:2" x14ac:dyDescent="0.25">
      <c r="A20" t="s">
        <v>70</v>
      </c>
      <c r="B20" s="18">
        <f>Forecast!B17+B19</f>
        <v>176046858479.83566</v>
      </c>
    </row>
    <row r="21" spans="1:2" x14ac:dyDescent="0.25">
      <c r="A21" t="s">
        <v>71</v>
      </c>
      <c r="B21" s="18">
        <f>-Assumptions!B30</f>
        <v>-18304000000</v>
      </c>
    </row>
    <row r="22" spans="1:2" x14ac:dyDescent="0.25">
      <c r="A22" t="s">
        <v>72</v>
      </c>
      <c r="B22" s="18">
        <f>B20+B21</f>
        <v>157742858479.83566</v>
      </c>
    </row>
    <row r="23" spans="1:2" x14ac:dyDescent="0.25">
      <c r="A23" s="19" t="s">
        <v>73</v>
      </c>
      <c r="B23" s="25">
        <f>B22/Assumptions!B31</f>
        <v>119.14113178235321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55.09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32.909770740411005</v>
      </c>
    </row>
    <row r="29" spans="1:2" x14ac:dyDescent="0.25">
      <c r="A29" s="19" t="s">
        <v>81</v>
      </c>
      <c r="B29" s="11">
        <f>B28/B26-1</f>
        <v>-0.40261806606623696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0.072761</v>
      </c>
      <c r="B5" s="31">
        <v>48.91497667206405</v>
      </c>
      <c r="C5" s="31">
        <v>48.10611266804802</v>
      </c>
      <c r="D5" s="31">
        <v>47.29724866403198</v>
      </c>
      <c r="E5" s="31">
        <v>46.48838466001597</v>
      </c>
      <c r="F5" s="31">
        <v>45.67952065599994</v>
      </c>
    </row>
    <row r="6" spans="1:6" x14ac:dyDescent="0.25">
      <c r="A6" s="30">
        <v>0.082761</v>
      </c>
      <c r="B6" s="31">
        <v>40.55600365657463</v>
      </c>
      <c r="C6" s="31">
        <v>39.88464323796411</v>
      </c>
      <c r="D6" s="31">
        <v>39.21328281935358</v>
      </c>
      <c r="E6" s="31">
        <v>38.541922400743054</v>
      </c>
      <c r="F6" s="31">
        <v>37.870561982132514</v>
      </c>
    </row>
    <row r="7" spans="1:6" x14ac:dyDescent="0.25">
      <c r="A7" s="30">
        <v>0.092761</v>
      </c>
      <c r="B7" s="31">
        <v>34.04149621970775</v>
      </c>
      <c r="C7" s="31">
        <v>33.47552939888357</v>
      </c>
      <c r="D7" s="32">
        <v>32.909562578059365</v>
      </c>
      <c r="E7" s="31">
        <v>32.34359575723517</v>
      </c>
      <c r="F7" s="31">
        <v>31.777628936410967</v>
      </c>
    </row>
    <row r="8" spans="1:6" x14ac:dyDescent="0.25">
      <c r="A8" s="30">
        <v>0.102761</v>
      </c>
      <c r="B8" s="31">
        <v>28.83035491676697</v>
      </c>
      <c r="C8" s="31">
        <v>28.347224860670316</v>
      </c>
      <c r="D8" s="31">
        <v>27.864094804573654</v>
      </c>
      <c r="E8" s="31">
        <v>27.38096474847698</v>
      </c>
      <c r="F8" s="31">
        <v>26.897834692380318</v>
      </c>
    </row>
    <row r="9" spans="1:6" x14ac:dyDescent="0.25">
      <c r="A9" s="30">
        <v>0.112761</v>
      </c>
      <c r="B9" s="31">
        <v>24.573619693353727</v>
      </c>
      <c r="C9" s="31">
        <v>24.15691916570122</v>
      </c>
      <c r="D9" s="31">
        <v>23.74021863804871</v>
      </c>
      <c r="E9" s="31">
        <v>23.323518110396204</v>
      </c>
      <c r="F9" s="31">
        <v>22.906817582743688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34296000000</v>
      </c>
      <c r="C5" s="18">
        <v>30127000000</v>
      </c>
      <c r="D5" s="18">
        <v>29135000000</v>
      </c>
      <c r="E5" s="18">
        <v>28496000000</v>
      </c>
      <c r="F5" s="6" t="s">
        <v>91</v>
      </c>
    </row>
    <row r="6" spans="1:6" x14ac:dyDescent="0.25">
      <c r="A6" t="s">
        <v>51</v>
      </c>
      <c r="B6" s="18">
        <v>1644000000</v>
      </c>
      <c r="C6" s="18">
        <v>2494000000</v>
      </c>
      <c r="D6" s="18">
        <v>2442000000</v>
      </c>
      <c r="E6" s="18">
        <v>2227000000</v>
      </c>
      <c r="F6" s="6" t="s">
        <v>92</v>
      </c>
    </row>
    <row r="7" spans="1:6" x14ac:dyDescent="0.25">
      <c r="A7" t="s">
        <v>93</v>
      </c>
      <c r="B7" s="18">
        <v>2737000000</v>
      </c>
      <c r="C7" s="18">
        <v>2564000000</v>
      </c>
      <c r="D7" s="18">
        <v>2616000000</v>
      </c>
      <c r="E7" s="18">
        <v>2480000000</v>
      </c>
      <c r="F7" s="6" t="s">
        <v>94</v>
      </c>
    </row>
    <row r="8" spans="1:6" x14ac:dyDescent="0.25">
      <c r="A8" t="s">
        <v>95</v>
      </c>
      <c r="B8" s="18">
        <v>2292000000</v>
      </c>
      <c r="C8" s="18">
        <v>2367000000</v>
      </c>
      <c r="D8" s="18">
        <v>2828000000</v>
      </c>
      <c r="E8" s="18">
        <v>3122000000</v>
      </c>
      <c r="F8" s="6" t="s">
        <v>96</v>
      </c>
    </row>
    <row r="9" spans="1:6" x14ac:dyDescent="0.25">
      <c r="A9" t="s">
        <v>97</v>
      </c>
      <c r="B9" s="18">
        <v>2707000000</v>
      </c>
      <c r="C9" s="18">
        <v>688000000</v>
      </c>
      <c r="D9" s="18">
        <v>1032000000</v>
      </c>
      <c r="E9" s="18">
        <v>570000000</v>
      </c>
      <c r="F9" s="6" t="s">
        <v>98</v>
      </c>
    </row>
    <row r="10" spans="1:6" x14ac:dyDescent="0.25">
      <c r="A10" t="s">
        <v>99</v>
      </c>
      <c r="B10" s="18">
        <v>24077000000</v>
      </c>
      <c r="C10" s="18">
        <v>19816000000</v>
      </c>
      <c r="D10" s="18">
        <v>13515000000</v>
      </c>
      <c r="E10" s="18">
        <v>13484000000</v>
      </c>
      <c r="F10" s="6" t="s">
        <v>100</v>
      </c>
    </row>
    <row r="11" spans="1:6" x14ac:dyDescent="0.25">
      <c r="A11" t="s">
        <v>101</v>
      </c>
      <c r="B11" s="18">
        <v>5773000000</v>
      </c>
      <c r="C11" s="18">
        <v>14846000000</v>
      </c>
      <c r="D11" s="18">
        <v>4270000000</v>
      </c>
      <c r="E11" s="18">
        <v>4163000000</v>
      </c>
      <c r="F11" s="6" t="s">
        <v>102</v>
      </c>
    </row>
    <row r="12" spans="1:6" x14ac:dyDescent="0.25">
      <c r="A12" t="s">
        <v>34</v>
      </c>
      <c r="B12" s="34">
        <v>1324000000</v>
      </c>
      <c r="C12" s="34">
        <v>1337000000</v>
      </c>
      <c r="D12" s="34">
        <v>1316000000</v>
      </c>
      <c r="E12" s="34">
        <v>1322000000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