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<sst xmlns="http://schemas.openxmlformats.org/spreadsheetml/2006/main" count="119" uniqueCount="106">
  <si>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HP Inc. (HPQ)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</si>
  <si>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</si>
  <si>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</si>
  <si>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</si>
  <si>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</si>
  <si>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</si>
  <si>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</si>
  <si>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</si>
  <si>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</si>
  <si>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</si>
  <si>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</si>
  <si>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</si>
  <si>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</si>
  <si>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</si>
  <si>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</si>
  <si>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</si>
  <si>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</si>
  <si>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</si>
  <si>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</si>
  <si>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</si>
  <si>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</si>
  <si>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</si>
  <si>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</si>
  <si>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</si>
  <si>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6.5x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</si>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</sst>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0.0824719412243422</v>
      </c>
    </row>
    <row r="7" spans="1:2" x14ac:dyDescent="0.25">
      <c r="A7" t="s">
        <v>4</v>
      </c>
      <c r="B7" s="5">
        <v>0.07598689485822682</v>
      </c>
    </row>
    <row r="8" spans="1:2" x14ac:dyDescent="0.25">
      <c r="A8" t="s">
        <v>5</v>
      </c>
      <c r="B8" s="5">
        <v>0.1537053979871912</v>
      </c>
    </row>
    <row r="9" spans="1:2" x14ac:dyDescent="0.25">
      <c r="A9" t="s">
        <v>6</v>
      </c>
      <c r="B9" s="5">
        <v>0.01507116509905716</v>
      </c>
    </row>
    <row r="10" spans="1:3" x14ac:dyDescent="0.25">
      <c r="A10" t="s">
        <v>7</v>
      </c>
      <c r="B10" s="5">
        <v>0.01261866793753092</v>
      </c>
      <c r="C10" s="6" t="s">
        <v>8</v>
      </c>
    </row>
    <row r="11" spans="1:2" x14ac:dyDescent="0.25">
      <c r="A11" t="s">
        <v>9</v>
      </c>
      <c r="B11" s="5">
        <v>-0.062216431105669795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7.300780659030837</v>
      </c>
    </row>
    <row r="14" spans="1:3" x14ac:dyDescent="0.25">
      <c r="A14" t="s">
        <v>12</v>
      </c>
      <c r="B14" s="5">
        <v>0.42539703443691895</v>
      </c>
      <c r="C14" s="6" t="s">
        <v>13</v>
      </c>
    </row>
    <row r="15" spans="1:3" x14ac:dyDescent="0.25">
      <c r="A15" t="s">
        <v>14</v>
      </c>
      <c r="B15" s="5">
        <v>0.015961998545682952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1.1273</v>
      </c>
      <c r="C19" s="6" t="s">
        <v>21</v>
      </c>
    </row>
    <row r="20" spans="1:2" x14ac:dyDescent="0.25">
      <c r="A20" t="s">
        <v>22</v>
      </c>
      <c r="B20" s="9">
        <f>B17+B19*B18</f>
        <v>0.09662479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25953544192</v>
      </c>
    </row>
    <row r="23" spans="1:2" x14ac:dyDescent="0.25">
      <c r="A23" t="s">
        <v>26</v>
      </c>
      <c r="B23" s="10">
        <v>10882000000</v>
      </c>
    </row>
    <row r="24" spans="1:2" x14ac:dyDescent="0.25">
      <c r="A24" t="s">
        <v>27</v>
      </c>
      <c r="B24" s="9">
        <f>B22/(B22+B23)</f>
        <v>0.7045788181306856</v>
      </c>
    </row>
    <row r="25" spans="1:2" x14ac:dyDescent="0.25">
      <c r="A25" t="s">
        <v>28</v>
      </c>
      <c r="B25" s="9">
        <f>1-B24</f>
        <v>0.29542118186931443</v>
      </c>
    </row>
    <row r="26" spans="1:2" x14ac:dyDescent="0.25">
      <c r="A26" t="s">
        <v>29</v>
      </c>
      <c r="B26" s="11">
        <f>B24*B20+B25*B21*(1-B8)</f>
        <v>0.08169050719795887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55295000000</v>
      </c>
      <c r="C29" s="6" t="s">
        <v>32</v>
      </c>
    </row>
    <row r="30" spans="1:2" x14ac:dyDescent="0.25">
      <c r="A30" t="s">
        <v>33</v>
      </c>
      <c r="B30" s="10">
        <v>7192000000</v>
      </c>
    </row>
    <row r="31" spans="1:2" x14ac:dyDescent="0.25">
      <c r="A31" t="s">
        <v>34</v>
      </c>
      <c r="B31" s="12">
        <v>953000000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0.0824719412243422</v>
      </c>
      <c r="C5" s="5">
        <v>0.004709354492886231</v>
      </c>
      <c r="D5" s="5">
        <v>0.007245685181275452</v>
      </c>
      <c r="E5" s="5">
        <v>0.009782015869664673</v>
      </c>
      <c r="F5" s="5">
        <v>0.012318346558053896</v>
      </c>
      <c r="G5" s="5">
        <v>0.014854677246443116</v>
      </c>
      <c r="H5" s="5">
        <v>0.017391007934832337</v>
      </c>
      <c r="I5" s="5">
        <v>0.01992733862322156</v>
      </c>
      <c r="J5" s="5">
        <v>0.02246366931161078</v>
      </c>
      <c r="K5" s="5">
        <v>0.025</v>
      </c>
    </row>
    <row r="6" spans="1:11" x14ac:dyDescent="0.25">
      <c r="A6" t="s">
        <v>50</v>
      </c>
      <c r="B6" s="18">
        <f>Assumptions!B29*(1+B5)</f>
        <v>59855285990</v>
      </c>
      <c r="C6" s="18">
        <f>B6*(1+C5)</f>
        <v>60137165750</v>
      </c>
      <c r="D6" s="18">
        <f>C6*(1+D5)</f>
        <v>60572900720.71868</v>
      </c>
      <c r="E6" s="18">
        <f>D6*(1+E5)</f>
        <v>61165425796.84037</v>
      </c>
      <c r="F6" s="18">
        <f>E6*(1+F5)</f>
        <v>61918882709.17678</v>
      </c>
      <c r="G6" s="18">
        <f>F6*(1+G5)</f>
        <v>62838667727.28197</v>
      </c>
      <c r="H6" s="18">
        <f>G6*(1+H5)</f>
        <v>63931495496.341415</v>
      </c>
      <c r="I6" s="18">
        <f>H6*(1+I5)</f>
        <v>65205480055.78597</v>
      </c>
      <c r="J6" s="18">
        <f>I6*(1+J5)</f>
        <v>66670234397.06397</v>
      </c>
      <c r="K6" s="18">
        <f>J6*(1+K5)</f>
        <v>68336990256.99056</v>
      </c>
    </row>
    <row r="7" spans="1:11" x14ac:dyDescent="0.25">
      <c r="A7" t="s">
        <v>4</v>
      </c>
      <c r="B7" s="9">
        <f>Assumptions!B7</f>
        <v>0.07598689485822682</v>
      </c>
      <c r="C7" s="9">
        <f>Assumptions!B7</f>
        <v>0.07598689485822682</v>
      </c>
      <c r="D7" s="9">
        <f>Assumptions!B7</f>
        <v>0.07598689485822682</v>
      </c>
      <c r="E7" s="9">
        <f>Assumptions!B7</f>
        <v>0.07598689485822682</v>
      </c>
      <c r="F7" s="9">
        <f>Assumptions!B7</f>
        <v>0.07598689485822682</v>
      </c>
      <c r="G7" s="9">
        <f>Assumptions!B7</f>
        <v>0.07598689485822682</v>
      </c>
      <c r="H7" s="9">
        <f>Assumptions!B7</f>
        <v>0.07598689485822682</v>
      </c>
      <c r="I7" s="9">
        <f>Assumptions!B7</f>
        <v>0.07598689485822682</v>
      </c>
      <c r="J7" s="9">
        <f>Assumptions!B7</f>
        <v>0.07598689485822682</v>
      </c>
      <c r="K7" s="9">
        <f>Assumptions!B7</f>
        <v>0.07598689485822682</v>
      </c>
    </row>
    <row r="8" spans="1:11" x14ac:dyDescent="0.25">
      <c r="A8" t="s">
        <v>51</v>
      </c>
      <c r="B8" s="18">
        <f>B6*B7</f>
        <v>4548217323.231227</v>
      </c>
      <c r="C8" s="18">
        <f>C6*C7</f>
        <v>4569636490.917009</v>
      </c>
      <c r="D8" s="18">
        <f>D6*D7</f>
        <v>4602746638.323062</v>
      </c>
      <c r="E8" s="18">
        <f>E6*E7</f>
        <v>4647770778.983184</v>
      </c>
      <c r="F8" s="18">
        <f>F6*F7</f>
        <v>4705023630.161095</v>
      </c>
      <c r="G8" s="18">
        <f>G6*G7</f>
        <v>4774915237.624026</v>
      </c>
      <c r="H8" s="18">
        <f>H6*H7</f>
        <v>4857955826.409697</v>
      </c>
      <c r="I8" s="18">
        <f>I6*I7</f>
        <v>4954761957.1792145</v>
      </c>
      <c r="J8" s="18">
        <f>J6*J7</f>
        <v>5066064091.303038</v>
      </c>
      <c r="K8" s="18">
        <f>K6*K7</f>
        <v>5192715693.585612</v>
      </c>
    </row>
    <row r="9" spans="1:11" x14ac:dyDescent="0.25">
      <c r="A9" t="s">
        <v>52</v>
      </c>
      <c r="B9" s="18">
        <f>B8*(1-Assumptions!B8)</f>
        <v>3849131769.4317336</v>
      </c>
      <c r="C9" s="18">
        <f>C8*(1-Assumptions!B8)</f>
        <v>3867258695.4238186</v>
      </c>
      <c r="D9" s="18">
        <f>D8*(1-Assumptions!B8)</f>
        <v>3895279634.4454093</v>
      </c>
      <c r="E9" s="18">
        <f>E8*(1-Assumptions!B8)</f>
        <v>3933383321.646336</v>
      </c>
      <c r="F9" s="18">
        <f>F8*(1-Assumptions!B8)</f>
        <v>3981836100.5480447</v>
      </c>
      <c r="G9" s="18">
        <f>G8*(1-Assumptions!B8)</f>
        <v>4040984990.669922</v>
      </c>
      <c r="H9" s="18">
        <f>H8*(1-Assumptions!B8)</f>
        <v>4111261792.7072</v>
      </c>
      <c r="I9" s="18">
        <f>I8*(1-Assumptions!B8)</f>
        <v>4193188298.619189</v>
      </c>
      <c r="J9" s="18">
        <f>J8*(1-Assumptions!B8)</f>
        <v>4287382693.9206862</v>
      </c>
      <c r="K9" s="18">
        <f>K8*(1-Assumptions!B8)</f>
        <v>4394567261.2687025</v>
      </c>
    </row>
    <row r="10" spans="1:11" x14ac:dyDescent="0.25">
      <c r="A10" t="s">
        <v>53</v>
      </c>
      <c r="B10" s="18">
        <f>B6*Assumptions!B9</f>
        <v>902088897.2065729</v>
      </c>
      <c r="C10" s="18">
        <f>C6*Assumptions!B9</f>
        <v>906337153.6076156</v>
      </c>
      <c r="D10" s="18">
        <f>D6*Assumptions!B9</f>
        <v>912904187.2907497</v>
      </c>
      <c r="E10" s="18">
        <f>E6*Assumptions!B9</f>
        <v>921834230.538311</v>
      </c>
      <c r="F10" s="18">
        <f>F6*Assumptions!B9</f>
        <v>933189704.0591589</v>
      </c>
      <c r="G10" s="18">
        <f>G6*Assumptions!B9</f>
        <v>947051935.9226614</v>
      </c>
      <c r="H10" s="18">
        <f>H6*Assumptions!B9</f>
        <v>963522123.6549907</v>
      </c>
      <c r="I10" s="18">
        <f>I6*Assumptions!B9</f>
        <v>982722555.2840292</v>
      </c>
      <c r="J10" s="18">
        <f>J6*Assumptions!B9</f>
        <v>1004798109.7909907</v>
      </c>
      <c r="K10" s="18">
        <f>K6*Assumptions!B9</f>
        <v>1029918062.5357653</v>
      </c>
    </row>
    <row r="11" spans="1:11" x14ac:dyDescent="0.25">
      <c r="A11" t="s">
        <v>54</v>
      </c>
      <c r="B11" s="18">
        <f>-B6*B19</f>
        <v>-755293978.2137567</v>
      </c>
      <c r="C11" s="18">
        <f>-C6*C19</f>
        <v>-800490893.6731532</v>
      </c>
      <c r="D11" s="18">
        <f>-D6*D19</f>
        <v>-848232677.1505971</v>
      </c>
      <c r="E11" s="18">
        <f>-E6*E19</f>
        <v>-898882055.2954705</v>
      </c>
      <c r="F11" s="18">
        <f>-F6*F19</f>
        <v>-952828454.6332122</v>
      </c>
      <c r="G11" s="18">
        <f>-G6*G19</f>
        <v>-1010492946.8256668</v>
      </c>
      <c r="H11" s="18">
        <f>-H6*H19</f>
        <v>-1072333662.7347875</v>
      </c>
      <c r="I11" s="18">
        <f>-I6*I19</f>
        <v>-1138851771.7855039</v>
      </c>
      <c r="J11" s="18">
        <f>-J6*J19</f>
        <v>-1210598134.5543973</v>
      </c>
      <c r="K11" s="18">
        <f>-K6*K19</f>
        <v>-1288180750.4201329</v>
      </c>
    </row>
    <row r="12" spans="1:11" x14ac:dyDescent="0.25">
      <c r="A12" t="s">
        <v>55</v>
      </c>
      <c r="B12" s="18">
        <f>-(B6-Assumptions!B29)*Assumptions!B11</f>
        <v>283724719.1189862</v>
      </c>
      <c r="C12" s="18">
        <f>-(C6-B6)*Assumptions!B11</f>
        <v>17537552.668122735</v>
      </c>
      <c r="D12" s="18">
        <f>-(D6-C6)*Assumptions!B11</f>
        <v>27109874.786049884</v>
      </c>
      <c r="E12" s="18">
        <f>-(E6-D6)*Assumptions!B11</f>
        <v>36864795.57690681</v>
      </c>
      <c r="F12" s="18">
        <f>-(F6-E6)*Assumptions!B11</f>
        <v>46877400.07746897</v>
      </c>
      <c r="G12" s="18">
        <f>-(G6-F6)*Assumptions!B11</f>
        <v>57225741.21096858</v>
      </c>
      <c r="H12" s="18">
        <f>-(H6-G6)*Assumptions!B11</f>
        <v>67991843.60404998</v>
      </c>
      <c r="I12" s="18">
        <f>-(I6-H6)*Assumptions!B11</f>
        <v>79262772.57236938</v>
      </c>
      <c r="J12" s="18">
        <f>-(J6-I6)*Assumptions!B11</f>
        <v>91131787.56085342</v>
      </c>
      <c r="K12" s="18">
        <f>-(K6-J6)*Assumptions!B11</f>
        <v>103699601.1290941</v>
      </c>
    </row>
    <row r="13" spans="1:11" x14ac:dyDescent="0.25">
      <c r="A13" s="19" t="s">
        <v>56</v>
      </c>
      <c r="B13" s="20">
        <f>B9+B10+B11+B12</f>
        <v>4279651407.543536</v>
      </c>
      <c r="C13" s="20">
        <f>C9+C10+C11+C12</f>
        <v>3990642508.026404</v>
      </c>
      <c r="D13" s="20">
        <f>D9+D10+D11+D12</f>
        <v>3987061019.371612</v>
      </c>
      <c r="E13" s="20">
        <f>E9+E10+E11+E12</f>
        <v>3993200292.466083</v>
      </c>
      <c r="F13" s="20">
        <f>F9+F10+F11+F12</f>
        <v>4009074750.0514603</v>
      </c>
      <c r="G13" s="20">
        <f>G9+G10+G11+G12</f>
        <v>4034769720.9778852</v>
      </c>
      <c r="H13" s="20">
        <f>H9+H10+H11+H12</f>
        <v>4070442097.231453</v>
      </c>
      <c r="I13" s="20">
        <f>I9+I10+I11+I12</f>
        <v>4116321854.690084</v>
      </c>
      <c r="J13" s="20">
        <f>J9+J10+J11+J12</f>
        <v>4172714456.7181325</v>
      </c>
      <c r="K13" s="20">
        <f>K9+K10+K11+K12</f>
        <v>4240004174.5134296</v>
      </c>
    </row>
    <row r="14" spans="1:11" x14ac:dyDescent="0.25">
      <c r="A14" t="s">
        <v>57</v>
      </c>
      <c r="B14" s="21">
        <f>1/(1+Assumptions!$B$26)^(1-0.5*Assumptions!$B$32)</f>
        <v>0.9614982337783983</v>
      </c>
      <c r="C14" s="21">
        <f>1/(1+Assumptions!$B$26)^(2-0.5*Assumptions!$B$32)</f>
        <v>0.8888847848624373</v>
      </c>
      <c r="D14" s="21">
        <f>1/(1+Assumptions!$B$26)^(3-0.5*Assumptions!$B$32)</f>
        <v>0.8217551868556462</v>
      </c>
      <c r="E14" s="21">
        <f>1/(1+Assumptions!$B$26)^(4-0.5*Assumptions!$B$32)</f>
        <v>0.7596952930504528</v>
      </c>
      <c r="F14" s="21">
        <f>1/(1+Assumptions!$B$26)^(5-0.5*Assumptions!$B$32)</f>
        <v>0.7023222335734356</v>
      </c>
      <c r="G14" s="21">
        <f>1/(1+Assumptions!$B$26)^(6-0.5*Assumptions!$B$32)</f>
        <v>0.6492820533229515</v>
      </c>
      <c r="H14" s="21">
        <f>1/(1+Assumptions!$B$26)^(7-0.5*Assumptions!$B$32)</f>
        <v>0.6002475282924224</v>
      </c>
      <c r="I14" s="21">
        <f>1/(1+Assumptions!$B$26)^(8-0.5*Assumptions!$B$32)</f>
        <v>0.5549161468073898</v>
      </c>
      <c r="J14" s="21">
        <f>1/(1+Assumptions!$B$26)^(9-0.5*Assumptions!$B$32)</f>
        <v>0.5130082432218621</v>
      </c>
      <c r="K14" s="21">
        <f>1/(1+Assumptions!$B$26)^(10-0.5*Assumptions!$B$32)</f>
        <v>0.4742652725600532</v>
      </c>
    </row>
    <row r="15" spans="1:11" x14ac:dyDescent="0.25">
      <c r="A15" s="19" t="s">
        <v>58</v>
      </c>
      <c r="B15" s="20">
        <f>B13*B14</f>
        <v>4114877269.540346</v>
      </c>
      <c r="C15" s="20">
        <f>C13*C14</f>
        <v>3547221407.209947</v>
      </c>
      <c r="D15" s="20">
        <f>D13*D14</f>
        <v>3276388072.9785824</v>
      </c>
      <c r="E15" s="20">
        <f>E13*E14</f>
        <v>3033615466.3941746</v>
      </c>
      <c r="F15" s="20">
        <f>F13*F14</f>
        <v>2815662333.019005</v>
      </c>
      <c r="G15" s="20">
        <f>G13*G14</f>
        <v>2619703569.1217937</v>
      </c>
      <c r="H15" s="20">
        <f>H13*H14</f>
        <v>2443272807.9206038</v>
      </c>
      <c r="I15" s="20">
        <f>I13*I14</f>
        <v>2284213462.6236696</v>
      </c>
      <c r="J15" s="20">
        <f>J13*J14</f>
        <v>2140636912.907436</v>
      </c>
      <c r="K15" s="20">
        <f>K13*K14</f>
        <v>2010886735.481375</v>
      </c>
    </row>
    <row r="17" spans="1:2" x14ac:dyDescent="0.25">
      <c r="A17" s="22" t="s">
        <v>59</v>
      </c>
      <c r="B17" s="23">
        <f>SUM(B15:K15)</f>
        <v>28286478037.196934</v>
      </c>
    </row>
    <row r="19" spans="1:11" x14ac:dyDescent="0.25">
      <c r="A19" t="s">
        <v>7</v>
      </c>
      <c r="B19" s="9">
        <f>Assumptions!$B$10+($B$20-Assumptions!$B$10)*0/9</f>
        <v>0.01261866793753092</v>
      </c>
      <c r="C19" s="9">
        <f>Assumptions!$B$10+($B$20-Assumptions!$B$10)*1/9</f>
        <v>0.013311084479786166</v>
      </c>
      <c r="D19" s="9">
        <f>Assumptions!$B$10+($B$20-Assumptions!$B$10)*2/9</f>
        <v>0.014003501022041414</v>
      </c>
      <c r="E19" s="9">
        <f>Assumptions!$B$10+($B$20-Assumptions!$B$10)*3/9</f>
        <v>0.01469591756429666</v>
      </c>
      <c r="F19" s="9">
        <f>Assumptions!$B$10+($B$20-Assumptions!$B$10)*4/9</f>
        <v>0.015388334106551908</v>
      </c>
      <c r="G19" s="9">
        <f>Assumptions!$B$10+($B$20-Assumptions!$B$10)*5/9</f>
        <v>0.016080750648807155</v>
      </c>
      <c r="H19" s="9">
        <f>Assumptions!$B$10+($B$20-Assumptions!$B$10)*6/9</f>
        <v>0.0167731671910624</v>
      </c>
      <c r="I19" s="9">
        <f>Assumptions!$B$10+($B$20-Assumptions!$B$10)*7/9</f>
        <v>0.01746558373331765</v>
      </c>
      <c r="J19" s="9">
        <f>Assumptions!$B$10+($B$20-Assumptions!$B$10)*8/9</f>
        <v>0.0181580002755729</v>
      </c>
      <c r="K19" s="9">
        <f>Assumptions!$B$10+($B$20-Assumptions!$B$10)*9/9</f>
        <v>0.018850416817828144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0.018850416817828144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4240004174.5134296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4394567261.2687025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0.05876862783750127</v>
      </c>
    </row>
    <row r="7" spans="1:2" x14ac:dyDescent="0.25">
      <c r="A7" t="s">
        <v>66</v>
      </c>
      <c r="B7" s="18">
        <f>-MAX(B5,0)*B6</f>
        <v>-258262687.8843676</v>
      </c>
    </row>
    <row r="8" spans="1:2" x14ac:dyDescent="0.25">
      <c r="A8" t="s">
        <v>67</v>
      </c>
      <c r="B8" s="18">
        <f>IF(OR(Assumptions!$B$33=0,Assumptions!B12&lt;=0),B5,MAX(B5+B7,0))</f>
        <v>4136304573.384335</v>
      </c>
    </row>
    <row r="9" spans="1:2" x14ac:dyDescent="0.25">
      <c r="A9" t="s">
        <v>68</v>
      </c>
      <c r="B9" s="18">
        <f>B8*(1+Assumptions!B12)/(Assumptions!B26-Assumptions!B12)</f>
        <v>74786986345.24817</v>
      </c>
    </row>
    <row r="10" spans="1:2" x14ac:dyDescent="0.25">
      <c r="A10" t="s">
        <v>69</v>
      </c>
      <c r="B10" s="18">
        <f>B9/(1+Assumptions!B26)^(10-0.5*Assumptions!B32)</f>
        <v>35468870462.9741</v>
      </c>
    </row>
    <row r="11" spans="1:2" x14ac:dyDescent="0.25">
      <c r="A11" t="s">
        <v>70</v>
      </c>
      <c r="B11" s="18">
        <f>Forecast!B17+B10</f>
        <v>63755348500.171036</v>
      </c>
    </row>
    <row r="12" spans="1:2" x14ac:dyDescent="0.25">
      <c r="A12" t="s">
        <v>71</v>
      </c>
      <c r="B12" s="18">
        <f>-Assumptions!B30</f>
        <v>-7192000000</v>
      </c>
    </row>
    <row r="13" spans="1:2" x14ac:dyDescent="0.25">
      <c r="A13" t="s">
        <v>72</v>
      </c>
      <c r="B13" s="18">
        <f>B11+B12</f>
        <v>56563348500.171036</v>
      </c>
    </row>
    <row r="14" spans="1:2" x14ac:dyDescent="0.25">
      <c r="A14" s="19" t="s">
        <v>73</v>
      </c>
      <c r="B14" s="24">
        <f>B13/Assumptions!B31</f>
        <v>59.3529365164439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6222633756.121378</v>
      </c>
    </row>
    <row r="18" spans="1:2" x14ac:dyDescent="0.25">
      <c r="A18" t="s">
        <v>68</v>
      </c>
      <c r="B18" s="18">
        <f>B17*Assumptions!B13</f>
        <v>45430084174.92336</v>
      </c>
    </row>
    <row r="19" spans="1:2" x14ac:dyDescent="0.25">
      <c r="A19" t="s">
        <v>69</v>
      </c>
      <c r="B19" s="18">
        <f>B18/(1+Assumptions!B26)^(10-0.5*Assumptions!B32)</f>
        <v>21545911253.646187</v>
      </c>
    </row>
    <row r="20" spans="1:2" x14ac:dyDescent="0.25">
      <c r="A20" t="s">
        <v>70</v>
      </c>
      <c r="B20" s="18">
        <f>Forecast!B17+B19</f>
        <v>49832389290.843124</v>
      </c>
    </row>
    <row r="21" spans="1:2" x14ac:dyDescent="0.25">
      <c r="A21" t="s">
        <v>71</v>
      </c>
      <c r="B21" s="18">
        <f>-Assumptions!B30</f>
        <v>-7192000000</v>
      </c>
    </row>
    <row r="22" spans="1:2" x14ac:dyDescent="0.25">
      <c r="A22" t="s">
        <v>72</v>
      </c>
      <c r="B22" s="18">
        <f>B20+B21</f>
        <v>42640389290.843124</v>
      </c>
    </row>
    <row r="23" spans="1:2" x14ac:dyDescent="0.25">
      <c r="A23" s="19" t="s">
        <v>73</v>
      </c>
      <c r="B23" s="25">
        <f>B22/Assumptions!B31</f>
        <v>44.74332559374935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28.78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59.3529365164439</v>
      </c>
    </row>
    <row r="29" spans="1:2" x14ac:dyDescent="0.25">
      <c r="A29" s="19" t="s">
        <v>81</v>
      </c>
      <c r="B29" s="11">
        <f>B28/B26-1</f>
        <v>1.0622980026561466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0.061691</v>
      </c>
      <c r="B5" s="31">
        <v>79.80725855307031</v>
      </c>
      <c r="C5" s="31">
        <v>85.7548855511646</v>
      </c>
      <c r="D5" s="31">
        <v>93.36183228087572</v>
      </c>
      <c r="E5" s="31">
        <v>103.41348878903877</v>
      </c>
      <c r="F5" s="31">
        <v>117.28375064632479</v>
      </c>
    </row>
    <row r="6" spans="1:6" x14ac:dyDescent="0.25">
      <c r="A6" s="30">
        <v>0.071691</v>
      </c>
      <c r="B6" s="31">
        <v>64.95629176342094</v>
      </c>
      <c r="C6" s="31">
        <v>68.45515417364658</v>
      </c>
      <c r="D6" s="31">
        <v>72.73185169562689</v>
      </c>
      <c r="E6" s="31">
        <v>78.06624153298662</v>
      </c>
      <c r="F6" s="31">
        <v>84.89072903664815</v>
      </c>
    </row>
    <row r="7" spans="1:6" x14ac:dyDescent="0.25">
      <c r="A7" s="30">
        <v>0.081691</v>
      </c>
      <c r="B7" s="31">
        <v>54.54857150319274</v>
      </c>
      <c r="C7" s="31">
        <v>56.745613553842716</v>
      </c>
      <c r="D7" s="32">
        <v>59.352392830765474</v>
      </c>
      <c r="E7" s="31">
        <v>62.48780930482814</v>
      </c>
      <c r="F7" s="31">
        <v>66.32169352061315</v>
      </c>
    </row>
    <row r="8" spans="1:6" x14ac:dyDescent="0.25">
      <c r="A8" s="30">
        <v>0.091691</v>
      </c>
      <c r="B8" s="31">
        <v>46.846676475217855</v>
      </c>
      <c r="C8" s="31">
        <v>48.28817263948959</v>
      </c>
      <c r="D8" s="31">
        <v>49.963681191875715</v>
      </c>
      <c r="E8" s="31">
        <v>51.93010161239304</v>
      </c>
      <c r="F8" s="31">
        <v>54.26440693065765</v>
      </c>
    </row>
    <row r="9" spans="1:6" x14ac:dyDescent="0.25">
      <c r="A9" s="30">
        <v>0.101691</v>
      </c>
      <c r="B9" s="31">
        <v>40.91478595523598</v>
      </c>
      <c r="C9" s="31">
        <v>41.88948689069617</v>
      </c>
      <c r="D9" s="31">
        <v>43.00601146298296</v>
      </c>
      <c r="E9" s="31">
        <v>44.29403361376824</v>
      </c>
      <c r="F9" s="31">
        <v>45.792126219114415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55295000000</v>
      </c>
      <c r="C5" s="18">
        <v>53559000000</v>
      </c>
      <c r="D5" s="18">
        <v>53718000000</v>
      </c>
      <c r="E5" s="18">
        <v>62910000000</v>
      </c>
      <c r="F5" s="6" t="s">
        <v>91</v>
      </c>
    </row>
    <row r="6" spans="1:6" x14ac:dyDescent="0.25">
      <c r="A6" t="s">
        <v>51</v>
      </c>
      <c r="B6" s="18">
        <v>3624000000</v>
      </c>
      <c r="C6" s="18">
        <v>4202000000</v>
      </c>
      <c r="D6" s="18">
        <v>4223000000</v>
      </c>
      <c r="E6" s="18">
        <v>5117000000</v>
      </c>
      <c r="F6" s="6" t="s">
        <v>92</v>
      </c>
    </row>
    <row r="7" spans="1:6" x14ac:dyDescent="0.25">
      <c r="A7" t="s">
        <v>93</v>
      </c>
      <c r="B7" s="18">
        <v>916000000</v>
      </c>
      <c r="C7" s="18">
        <v>830000000</v>
      </c>
      <c r="D7" s="18">
        <v>850000000</v>
      </c>
      <c r="E7" s="18">
        <v>780000000</v>
      </c>
      <c r="F7" s="6" t="s">
        <v>94</v>
      </c>
    </row>
    <row r="8" spans="1:6" x14ac:dyDescent="0.25">
      <c r="A8" t="s">
        <v>95</v>
      </c>
      <c r="B8" s="18">
        <v>897000000</v>
      </c>
      <c r="C8" s="18">
        <v>592000000</v>
      </c>
      <c r="D8" s="18">
        <v>593000000</v>
      </c>
      <c r="E8" s="18">
        <v>765000000</v>
      </c>
      <c r="F8" s="6" t="s">
        <v>96</v>
      </c>
    </row>
    <row r="9" spans="1:6" x14ac:dyDescent="0.25">
      <c r="A9" t="s">
        <v>97</v>
      </c>
      <c r="B9" s="18">
        <v>785000000</v>
      </c>
      <c r="C9" s="18">
        <v>449000000</v>
      </c>
      <c r="D9" s="18">
        <v>574000000</v>
      </c>
      <c r="E9" s="18">
        <v>1062000000</v>
      </c>
      <c r="F9" s="6" t="s">
        <v>98</v>
      </c>
    </row>
    <row r="10" spans="1:6" x14ac:dyDescent="0.25">
      <c r="A10" t="s">
        <v>99</v>
      </c>
      <c r="B10" s="18">
        <v>10882000000</v>
      </c>
      <c r="C10" s="18">
        <v>10899000000</v>
      </c>
      <c r="D10" s="18">
        <v>10739000000</v>
      </c>
      <c r="E10" s="18">
        <v>12294000000</v>
      </c>
      <c r="F10" s="6" t="s">
        <v>100</v>
      </c>
    </row>
    <row r="11" spans="1:6" x14ac:dyDescent="0.25">
      <c r="A11" t="s">
        <v>101</v>
      </c>
      <c r="B11" s="18">
        <v>3690000000</v>
      </c>
      <c r="C11" s="18">
        <v>3238000000</v>
      </c>
      <c r="D11" s="18">
        <v>3107000000</v>
      </c>
      <c r="E11" s="18">
        <v>3145000000</v>
      </c>
      <c r="F11" s="6" t="s">
        <v>102</v>
      </c>
    </row>
    <row r="12" spans="1:6" x14ac:dyDescent="0.25">
      <c r="A12" t="s">
        <v>34</v>
      </c>
      <c r="B12" s="34">
        <v>953000000</v>
      </c>
      <c r="C12" s="34">
        <v>989000000</v>
      </c>
      <c r="D12" s="34">
        <v>1000000000</v>
      </c>
      <c r="E12" s="34">
        <v>1050000000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