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<sst xmlns="http://schemas.openxmlformats.org/spreadsheetml/2006/main" count="111" uniqueCount="99">
  <si>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Hormel Foods Corporation (HRL)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</si>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</sst>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-0.009525432287289193</v>
      </c>
    </row>
    <row r="7" spans="1:2" x14ac:dyDescent="0.25">
      <c r="A7" t="s">
        <v>5</v>
      </c>
      <c r="B7" s="6">
        <v>0.08743941968927432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0.020817991449491546</v>
      </c>
    </row>
    <row r="10" spans="1:2" x14ac:dyDescent="0.25">
      <c r="A10" t="s">
        <v>8</v>
      </c>
      <c r="B10" s="6">
        <v>0.022973405143682252</v>
      </c>
    </row>
    <row r="11" spans="1:2" x14ac:dyDescent="0.25">
      <c r="A11" t="s">
        <v>9</v>
      </c>
      <c r="B11" s="6">
        <v>0.36021837822982566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11.74853353095912</v>
      </c>
    </row>
    <row r="14" spans="1:3" x14ac:dyDescent="0.25">
      <c r="A14" t="s">
        <v>12</v>
      </c>
      <c r="B14" s="6">
        <v>0.07483965963332853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0.54105</v>
      </c>
      <c r="C19" s="8" t="s">
        <v>19</v>
      </c>
    </row>
    <row r="20" spans="1:2" x14ac:dyDescent="0.25">
      <c r="A20" t="s">
        <v>20</v>
      </c>
      <c r="B20" s="10">
        <f>B17+B19*B18</f>
        <v>0.07973775000000001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11463806976</v>
      </c>
    </row>
    <row r="23" spans="1:2" x14ac:dyDescent="0.25">
      <c r="A23" t="s">
        <v>24</v>
      </c>
      <c r="B23" s="11">
        <v>2857424000</v>
      </c>
    </row>
    <row r="24" spans="1:2" x14ac:dyDescent="0.25">
      <c r="A24" t="s">
        <v>25</v>
      </c>
      <c r="B24" s="10">
        <f>B22/(B22+B23)</f>
        <v>0.8004763693296639</v>
      </c>
    </row>
    <row r="25" spans="1:2" x14ac:dyDescent="0.25">
      <c r="A25" t="s">
        <v>26</v>
      </c>
      <c r="B25" s="10">
        <f>1-B24</f>
        <v>0.19952363067033607</v>
      </c>
    </row>
    <row r="26" spans="1:2" x14ac:dyDescent="0.25">
      <c r="A26" t="s">
        <v>27</v>
      </c>
      <c r="B26" s="12">
        <f>B24*B20+B25*B21*(1-B8)</f>
        <v>0.07170621555663009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12106160000</v>
      </c>
      <c r="C29" s="8" t="s">
        <v>30</v>
      </c>
    </row>
    <row r="30" spans="1:2" x14ac:dyDescent="0.25">
      <c r="A30" t="s">
        <v>31</v>
      </c>
      <c r="B30" s="11">
        <v>2153836000</v>
      </c>
    </row>
    <row r="31" spans="1:2" x14ac:dyDescent="0.25">
      <c r="A31" t="s">
        <v>32</v>
      </c>
      <c r="B31" s="13">
        <v>550496000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-0.009525432287289193</v>
      </c>
      <c r="C5" s="10">
        <f>Assumptions!B6</f>
        <v>-0.009525432287289193</v>
      </c>
      <c r="D5" s="10">
        <f>Assumptions!B6</f>
        <v>-0.009525432287289193</v>
      </c>
      <c r="E5" s="10">
        <f>Assumptions!B6</f>
        <v>-0.009525432287289193</v>
      </c>
      <c r="F5" s="10">
        <f>Assumptions!B6</f>
        <v>-0.009525432287289193</v>
      </c>
    </row>
    <row r="6" spans="1:6" x14ac:dyDescent="0.25">
      <c r="A6" t="s">
        <v>43</v>
      </c>
      <c r="B6" s="18">
        <f>Assumptions!B29*(1+B5)</f>
        <v>11990843592.660912</v>
      </c>
      <c r="C6" s="18">
        <f>B6*(1+C5)</f>
        <v>11876625623.951544</v>
      </c>
      <c r="D6" s="18">
        <f>C6*(1+D5)</f>
        <v>11763495630.76911</v>
      </c>
      <c r="E6" s="18">
        <f>D6*(1+E5)</f>
        <v>11651443249.676395</v>
      </c>
      <c r="F6" s="18">
        <f>E6*(1+F5)</f>
        <v>11540458215.95241</v>
      </c>
    </row>
    <row r="7" spans="1:6" x14ac:dyDescent="0.25">
      <c r="A7" t="s">
        <v>5</v>
      </c>
      <c r="B7" s="10">
        <f>Assumptions!B7</f>
        <v>0.08743941968927432</v>
      </c>
      <c r="C7" s="10">
        <f>Assumptions!B7</f>
        <v>0.08743941968927432</v>
      </c>
      <c r="D7" s="10">
        <f>Assumptions!B7</f>
        <v>0.08743941968927432</v>
      </c>
      <c r="E7" s="10">
        <f>Assumptions!B7</f>
        <v>0.08743941968927432</v>
      </c>
      <c r="F7" s="10">
        <f>Assumptions!B7</f>
        <v>0.08743941968927432</v>
      </c>
    </row>
    <row r="8" spans="1:6" x14ac:dyDescent="0.25">
      <c r="A8" t="s">
        <v>44</v>
      </c>
      <c r="B8" s="18">
        <f>B6*B7</f>
        <v>1048472405.3271234</v>
      </c>
      <c r="C8" s="18">
        <f>C6*C7</f>
        <v>1038485252.4250885</v>
      </c>
      <c r="D8" s="18">
        <f>D6*D7</f>
        <v>1028593231.4717649</v>
      </c>
      <c r="E8" s="18">
        <f>E6*E7</f>
        <v>1018795436.2942166</v>
      </c>
      <c r="F8" s="18">
        <f>F6*F7</f>
        <v>1009090969.3511968</v>
      </c>
    </row>
    <row r="9" spans="1:6" x14ac:dyDescent="0.25">
      <c r="A9" t="s">
        <v>45</v>
      </c>
      <c r="B9" s="18">
        <f>B8*(1-Assumptions!B8)</f>
        <v>828293200.2084275</v>
      </c>
      <c r="C9" s="18">
        <f>C8*(1-Assumptions!B8)</f>
        <v>820403349.41582</v>
      </c>
      <c r="D9" s="18">
        <f>D8*(1-Assumptions!B8)</f>
        <v>812588652.8626944</v>
      </c>
      <c r="E9" s="18">
        <f>E8*(1-Assumptions!B8)</f>
        <v>804848394.6724312</v>
      </c>
      <c r="F9" s="18">
        <f>F8*(1-Assumptions!B8)</f>
        <v>797181865.7874454</v>
      </c>
    </row>
    <row r="10" spans="1:6" x14ac:dyDescent="0.25">
      <c r="A10" t="s">
        <v>46</v>
      </c>
      <c r="B10" s="18">
        <f>B6*Assumptions!B9</f>
        <v>249625279.38420534</v>
      </c>
      <c r="C10" s="18">
        <f>C6*Assumptions!B9</f>
        <v>247247490.68823543</v>
      </c>
      <c r="D10" s="18">
        <f>D6*Assumptions!B9</f>
        <v>244892351.4574825</v>
      </c>
      <c r="E10" s="18">
        <f>E6*Assumptions!B9</f>
        <v>242559645.94599918</v>
      </c>
      <c r="F10" s="18">
        <f>F6*Assumptions!B9</f>
        <v>240249160.46291173</v>
      </c>
    </row>
    <row r="11" spans="1:6" x14ac:dyDescent="0.25">
      <c r="A11" t="s">
        <v>47</v>
      </c>
      <c r="B11" s="18">
        <f>-B6*Assumptions!B10</f>
        <v>-275470507.86872554</v>
      </c>
      <c r="C11" s="18">
        <f>-C6*Assumptions!B10</f>
        <v>-272846532.19887686</v>
      </c>
      <c r="D11" s="18">
        <f>-D6*Assumptions!B10</f>
        <v>-270247551.03159475</v>
      </c>
      <c r="E11" s="18">
        <f>-E6*Assumptions!B10</f>
        <v>-267673326.28343755</v>
      </c>
      <c r="F11" s="18">
        <f>-F6*Assumptions!B10</f>
        <v>-265123622.1388112</v>
      </c>
    </row>
    <row r="12" spans="1:6" x14ac:dyDescent="0.25">
      <c r="A12" t="s">
        <v>48</v>
      </c>
      <c r="B12" s="18">
        <f>-(B6-Assumptions!B29)*Assumptions!B11</f>
        <v>41539089.2349764</v>
      </c>
      <c r="C12" s="18">
        <f>-(C6-B6)*Assumptions!B11</f>
        <v>41143411.453193426</v>
      </c>
      <c r="D12" s="18">
        <f>-(D6-C6)*Assumptions!B11</f>
        <v>40751502.67332764</v>
      </c>
      <c r="E12" s="18">
        <f>-(E6-D6)*Assumptions!B11</f>
        <v>40363326.99400793</v>
      </c>
      <c r="F12" s="18">
        <f>-(F6-E6)*Assumptions!B11</f>
        <v>39978848.85583663</v>
      </c>
    </row>
    <row r="13" spans="1:6" x14ac:dyDescent="0.25">
      <c r="A13" s="19" t="s">
        <v>49</v>
      </c>
      <c r="B13" s="20">
        <f>B9+B10+B11+B12</f>
        <v>843987060.9588836</v>
      </c>
      <c r="C13" s="20">
        <f>C9+C10+C11+C12</f>
        <v>835947719.358372</v>
      </c>
      <c r="D13" s="20">
        <f>D9+D10+D11+D12</f>
        <v>827984955.9619098</v>
      </c>
      <c r="E13" s="20">
        <f>E9+E10+E11+E12</f>
        <v>820098041.3290008</v>
      </c>
      <c r="F13" s="20">
        <f>F9+F10+F11+F12</f>
        <v>812286252.9673826</v>
      </c>
    </row>
    <row r="14" spans="1:6" x14ac:dyDescent="0.25">
      <c r="A14" t="s">
        <v>50</v>
      </c>
      <c r="B14" s="21">
        <f>1/(1+Assumptions!$B$26)^(1-0.5*Assumptions!$B$32)</f>
        <v>0.9659666335366847</v>
      </c>
      <c r="C14" s="21">
        <f>1/(1+Assumptions!$B$26)^(2-0.5*Assumptions!$B$32)</f>
        <v>0.9013352908800425</v>
      </c>
      <c r="D14" s="21">
        <f>1/(1+Assumptions!$B$26)^(3-0.5*Assumptions!$B$32)</f>
        <v>0.8410283320153189</v>
      </c>
      <c r="E14" s="21">
        <f>1/(1+Assumptions!$B$26)^(4-0.5*Assumptions!$B$32)</f>
        <v>0.7847564190700339</v>
      </c>
      <c r="F14" s="21">
        <f>1/(1+Assumptions!$B$26)^(5-0.5*Assumptions!$B$32)</f>
        <v>0.7322495733240119</v>
      </c>
    </row>
    <row r="15" spans="1:6" x14ac:dyDescent="0.25">
      <c r="A15" s="19" t="s">
        <v>51</v>
      </c>
      <c r="B15" s="20">
        <f>B13*B14</f>
        <v>815263340.0229735</v>
      </c>
      <c r="C15" s="20">
        <f>C13*C14</f>
        <v>753469180.7883863</v>
      </c>
      <c r="D15" s="20">
        <f>D13*D14</f>
        <v>696358806.4464222</v>
      </c>
      <c r="E15" s="20">
        <f>E13*E14</f>
        <v>643577202.1996953</v>
      </c>
      <c r="F15" s="20">
        <f>F13*F14</f>
        <v>594796262.1523262</v>
      </c>
    </row>
    <row r="17" spans="1:2" x14ac:dyDescent="0.25">
      <c r="A17" s="22" t="s">
        <v>52</v>
      </c>
      <c r="B17" s="23">
        <f>SUM(B15:F15)</f>
        <v>3503464791.6098037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812286252.9673826</v>
      </c>
    </row>
    <row r="5" spans="1:2" x14ac:dyDescent="0.25">
      <c r="A5" t="s">
        <v>56</v>
      </c>
      <c r="B5" s="18">
        <f>IF(Assumptions!$B$33=0,B4,B4-Forecast!F11-Forecast!F10-Forecast!F12)</f>
        <v>815107500.02352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0.334047483947491</v>
      </c>
    </row>
    <row r="7" spans="1:2" x14ac:dyDescent="0.25">
      <c r="A7" t="s">
        <v>58</v>
      </c>
      <c r="B7" s="18">
        <f>-MAX(Forecast!F9,0)*B6</f>
        <v>-272284609.5295863</v>
      </c>
    </row>
    <row r="8" spans="1:2" x14ac:dyDescent="0.25">
      <c r="A8" t="s">
        <v>59</v>
      </c>
      <c r="B8" s="18">
        <f>IF(OR(Assumptions!$B$33=0,Assumptions!B12&lt;=0),B5,MAX(B5+B7,0))</f>
        <v>542822890.4939337</v>
      </c>
    </row>
    <row r="9" spans="1:2" x14ac:dyDescent="0.25">
      <c r="A9" t="s">
        <v>60</v>
      </c>
      <c r="B9" s="18">
        <f>B8*(1+Assumptions!B12)/(Assumptions!B26-Assumptions!B12)</f>
        <v>11912621395.789799</v>
      </c>
    </row>
    <row r="10" spans="1:2" x14ac:dyDescent="0.25">
      <c r="A10" t="s">
        <v>61</v>
      </c>
      <c r="B10" s="18">
        <f>B9/(1+Assumptions!B26)^(5-0.5*Assumptions!B32)</f>
        <v>8723011934.237576</v>
      </c>
    </row>
    <row r="11" spans="1:2" x14ac:dyDescent="0.25">
      <c r="A11" t="s">
        <v>62</v>
      </c>
      <c r="B11" s="18">
        <f>Forecast!B17+B10</f>
        <v>12226476725.84738</v>
      </c>
    </row>
    <row r="12" spans="1:2" x14ac:dyDescent="0.25">
      <c r="A12" t="s">
        <v>63</v>
      </c>
      <c r="B12" s="18">
        <f>-Assumptions!B30</f>
        <v>-2153836000</v>
      </c>
    </row>
    <row r="13" spans="1:2" x14ac:dyDescent="0.25">
      <c r="A13" t="s">
        <v>64</v>
      </c>
      <c r="B13" s="18">
        <f>B11+B12</f>
        <v>10072640725.84738</v>
      </c>
    </row>
    <row r="14" spans="1:2" x14ac:dyDescent="0.25">
      <c r="A14" s="19" t="s">
        <v>65</v>
      </c>
      <c r="B14" s="24">
        <f>B13/Assumptions!B31</f>
        <v>18.297391308651434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1249340129.8141084</v>
      </c>
    </row>
    <row r="18" spans="1:2" x14ac:dyDescent="0.25">
      <c r="A18" t="s">
        <v>60</v>
      </c>
      <c r="B18" s="18">
        <f>B17*Assumptions!B13</f>
        <v>14677914406.693872</v>
      </c>
    </row>
    <row r="19" spans="1:2" x14ac:dyDescent="0.25">
      <c r="A19" t="s">
        <v>61</v>
      </c>
      <c r="B19" s="18">
        <f>B18/(1+Assumptions!B26)^(5-0.5*Assumptions!B32)</f>
        <v>10747896561.587955</v>
      </c>
    </row>
    <row r="20" spans="1:2" x14ac:dyDescent="0.25">
      <c r="A20" t="s">
        <v>62</v>
      </c>
      <c r="B20" s="18">
        <f>Forecast!B17+B19</f>
        <v>14251361353.19776</v>
      </c>
    </row>
    <row r="21" spans="1:2" x14ac:dyDescent="0.25">
      <c r="A21" t="s">
        <v>63</v>
      </c>
      <c r="B21" s="18">
        <f>-Assumptions!B30</f>
        <v>-2153836000</v>
      </c>
    </row>
    <row r="22" spans="1:2" x14ac:dyDescent="0.25">
      <c r="A22" t="s">
        <v>64</v>
      </c>
      <c r="B22" s="18">
        <f>B20+B21</f>
        <v>12097525353.19776</v>
      </c>
    </row>
    <row r="23" spans="1:2" x14ac:dyDescent="0.25">
      <c r="A23" s="19" t="s">
        <v>65</v>
      </c>
      <c r="B23" s="25">
        <f>B22/Assumptions!B31</f>
        <v>21.97568257207638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18.297391308651434</v>
      </c>
    </row>
    <row r="29" spans="1:2" x14ac:dyDescent="0.25">
      <c r="A29" s="19" t="s">
        <v>73</v>
      </c>
      <c r="B29" s="12">
        <f>B28/B26-1</f>
        <v>-0.12158467073204826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0.051706</v>
      </c>
      <c r="B5" s="31">
        <v>28.83407761470638</v>
      </c>
      <c r="C5" s="31">
        <v>30.56121604006867</v>
      </c>
      <c r="D5" s="31">
        <v>32.90555411802459</v>
      </c>
      <c r="E5" s="31">
        <v>36.2936096219504</v>
      </c>
      <c r="F5" s="31">
        <v>41.66251659886803</v>
      </c>
    </row>
    <row r="6" spans="1:6" x14ac:dyDescent="0.25">
      <c r="A6" s="30">
        <v>0.061706</v>
      </c>
      <c r="B6" s="31">
        <v>22.24489288096333</v>
      </c>
      <c r="C6" s="31">
        <v>22.861327750292816</v>
      </c>
      <c r="D6" s="31">
        <v>23.62511645837608</v>
      </c>
      <c r="E6" s="31">
        <v>24.605971601608363</v>
      </c>
      <c r="F6" s="31">
        <v>25.925813217705347</v>
      </c>
    </row>
    <row r="7" spans="1:6" x14ac:dyDescent="0.25">
      <c r="A7" s="30">
        <v>0.071706</v>
      </c>
      <c r="B7" s="31">
        <v>17.968906303807483</v>
      </c>
      <c r="C7" s="31">
        <v>18.124311990375624</v>
      </c>
      <c r="D7" s="32">
        <v>18.297481780553504</v>
      </c>
      <c r="E7" s="31">
        <v>18.494804720381183</v>
      </c>
      <c r="F7" s="31">
        <v>18.726151055724365</v>
      </c>
    </row>
    <row r="8" spans="1:6" x14ac:dyDescent="0.25">
      <c r="A8" s="30">
        <v>0.081706</v>
      </c>
      <c r="B8" s="31">
        <v>15.23279519698203</v>
      </c>
      <c r="C8" s="31">
        <v>15.296428607762515</v>
      </c>
      <c r="D8" s="31">
        <v>15.360062018542992</v>
      </c>
      <c r="E8" s="31">
        <v>15.423695429323471</v>
      </c>
      <c r="F8" s="31">
        <v>15.487328840103949</v>
      </c>
    </row>
    <row r="9" spans="1:6" x14ac:dyDescent="0.25">
      <c r="A9" s="30">
        <v>0.091706</v>
      </c>
      <c r="B9" s="31">
        <v>13.226074150127616</v>
      </c>
      <c r="C9" s="31">
        <v>13.280468944280814</v>
      </c>
      <c r="D9" s="31">
        <v>13.334863738434011</v>
      </c>
      <c r="E9" s="31">
        <v>13.38925853258721</v>
      </c>
      <c r="F9" s="31">
        <v>13.443653326740405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12106160000</v>
      </c>
      <c r="C5" s="18">
        <v>11920797000</v>
      </c>
      <c r="D5" s="18">
        <v>12110010000</v>
      </c>
      <c r="E5" s="18">
        <v>12458806000</v>
      </c>
      <c r="F5" s="8" t="s">
        <v>84</v>
      </c>
    </row>
    <row r="6" spans="1:6" x14ac:dyDescent="0.25">
      <c r="A6" t="s">
        <v>44</v>
      </c>
      <c r="B6" s="18">
        <v>895192000</v>
      </c>
      <c r="C6" s="18">
        <v>1016844000</v>
      </c>
      <c r="D6" s="18">
        <v>1057674000</v>
      </c>
      <c r="E6" s="18">
        <v>1285421000</v>
      </c>
      <c r="F6" s="8" t="s">
        <v>85</v>
      </c>
    </row>
    <row r="7" spans="1:6" x14ac:dyDescent="0.25">
      <c r="A7" t="s">
        <v>86</v>
      </c>
      <c r="B7" s="18">
        <v>263901000</v>
      </c>
      <c r="C7" s="18">
        <v>257756000</v>
      </c>
      <c r="D7" s="18">
        <v>253311000</v>
      </c>
      <c r="E7" s="18">
        <v>235885000</v>
      </c>
      <c r="F7" s="8" t="s">
        <v>87</v>
      </c>
    </row>
    <row r="8" spans="1:6" x14ac:dyDescent="0.25">
      <c r="A8" t="s">
        <v>88</v>
      </c>
      <c r="B8" s="18">
        <v>310902000</v>
      </c>
      <c r="C8" s="18">
        <v>256441000</v>
      </c>
      <c r="D8" s="18">
        <v>270211000</v>
      </c>
      <c r="E8" s="18">
        <v>278918000</v>
      </c>
      <c r="F8" s="8" t="s">
        <v>89</v>
      </c>
    </row>
    <row r="9" spans="1:6" x14ac:dyDescent="0.25">
      <c r="A9" t="s">
        <v>90</v>
      </c>
      <c r="B9" s="18">
        <v>243328000</v>
      </c>
      <c r="C9" s="18">
        <v>-68158000</v>
      </c>
      <c r="D9" s="18">
        <v>124758000</v>
      </c>
      <c r="E9" s="18">
        <v>371792000</v>
      </c>
      <c r="F9" s="8" t="s">
        <v>91</v>
      </c>
    </row>
    <row r="10" spans="1:6" x14ac:dyDescent="0.25">
      <c r="A10" t="s">
        <v>92</v>
      </c>
      <c r="B10" s="18">
        <v>2857424000</v>
      </c>
      <c r="C10" s="18">
        <v>2858757000</v>
      </c>
      <c r="D10" s="18">
        <v>3309248000</v>
      </c>
      <c r="E10" s="18">
        <v>3299345000</v>
      </c>
      <c r="F10" s="8" t="s">
        <v>93</v>
      </c>
    </row>
    <row r="11" spans="1:6" x14ac:dyDescent="0.25">
      <c r="A11" t="s">
        <v>94</v>
      </c>
      <c r="B11" s="18">
        <v>703588000</v>
      </c>
      <c r="C11" s="18">
        <v>766623000</v>
      </c>
      <c r="D11" s="18">
        <v>753196000</v>
      </c>
      <c r="E11" s="18">
        <v>998256000</v>
      </c>
      <c r="F11" s="8" t="s">
        <v>95</v>
      </c>
    </row>
    <row r="12" spans="1:6" x14ac:dyDescent="0.25">
      <c r="A12" t="s">
        <v>32</v>
      </c>
      <c r="B12" s="34">
        <v>550496000</v>
      </c>
      <c r="C12" s="34">
        <v>548832000</v>
      </c>
      <c r="D12" s="34">
        <v>548982000</v>
      </c>
      <c r="E12" s="34">
        <v>549566000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