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<sst xmlns="http://schemas.openxmlformats.org/spreadsheetml/2006/main" count="119" uniqueCount="106">
  <si>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Hormel Foods Corporation (HRL)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</si>
  <si>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</si>
  <si>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</si>
  <si>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</si>
  <si>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</si>
  <si>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</si>
  <si>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</si>
  <si>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</si>
  <si>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</si>
  <si>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</si>
  <si>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</si>
  <si>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</si>
  <si>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</si>
  <si>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</si>
  <si>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</si>
  <si>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</si>
  <si>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</si>
  <si>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</si>
  <si>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</si>
  <si>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</si>
  <si>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</si>
  <si>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</si>
  <si>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</si>
  <si>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</si>
  <si>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11.5x interest cover. Book interest / average debt was lower, at 2.7%.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</si>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</sst>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0.0017550974049573842</v>
      </c>
    </row>
    <row r="7" spans="1:2" x14ac:dyDescent="0.25">
      <c r="A7" t="s">
        <v>4</v>
      </c>
      <c r="B7" s="5">
        <v>0.08743941968927432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0.020817991449491546</v>
      </c>
    </row>
    <row r="10" spans="1:3" x14ac:dyDescent="0.25">
      <c r="A10" t="s">
        <v>7</v>
      </c>
      <c r="B10" s="5">
        <v>0.022973405143682252</v>
      </c>
      <c r="C10" s="6" t="s">
        <v>8</v>
      </c>
    </row>
    <row r="11" spans="1:2" x14ac:dyDescent="0.25">
      <c r="A11" t="s">
        <v>9</v>
      </c>
      <c r="B11" s="5">
        <v>0.14219549893528305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11.962199298934598</v>
      </c>
    </row>
    <row r="14" spans="1:3" x14ac:dyDescent="0.25">
      <c r="A14" t="s">
        <v>12</v>
      </c>
      <c r="B14" s="5">
        <v>0.07483965963332853</v>
      </c>
      <c r="C14" s="6" t="s">
        <v>13</v>
      </c>
    </row>
    <row r="15" spans="1:3" x14ac:dyDescent="0.25">
      <c r="A15" t="s">
        <v>14</v>
      </c>
      <c r="B15" s="5">
        <v>0.01885180641388956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0.5236299999999999</v>
      </c>
      <c r="C19" s="6" t="s">
        <v>21</v>
      </c>
    </row>
    <row r="20" spans="1:2" x14ac:dyDescent="0.25">
      <c r="A20" t="s">
        <v>22</v>
      </c>
      <c r="B20" s="9">
        <f>B17+B19*B18</f>
        <v>0.071089549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11711465472</v>
      </c>
    </row>
    <row r="23" spans="1:2" x14ac:dyDescent="0.25">
      <c r="A23" t="s">
        <v>26</v>
      </c>
      <c r="B23" s="10">
        <v>2857424000</v>
      </c>
    </row>
    <row r="24" spans="1:2" x14ac:dyDescent="0.25">
      <c r="A24" t="s">
        <v>27</v>
      </c>
      <c r="B24" s="9">
        <f>B22/(B22+B23)</f>
        <v>0.8038680981490255</v>
      </c>
    </row>
    <row r="25" spans="1:2" x14ac:dyDescent="0.25">
      <c r="A25" t="s">
        <v>28</v>
      </c>
      <c r="B25" s="9">
        <f>1-B24</f>
        <v>0.1961319018509745</v>
      </c>
    </row>
    <row r="26" spans="1:2" x14ac:dyDescent="0.25">
      <c r="A26" t="s">
        <v>29</v>
      </c>
      <c r="B26" s="11">
        <f>B24*B20+B25*B21*(1-B8)</f>
        <v>0.06534936663125453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12106160000</v>
      </c>
      <c r="C29" s="6" t="s">
        <v>32</v>
      </c>
    </row>
    <row r="30" spans="1:2" x14ac:dyDescent="0.25">
      <c r="A30" t="s">
        <v>33</v>
      </c>
      <c r="B30" s="10">
        <v>2153836000</v>
      </c>
    </row>
    <row r="31" spans="1:2" x14ac:dyDescent="0.25">
      <c r="A31" t="s">
        <v>34</v>
      </c>
      <c r="B31" s="12">
        <v>550496000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0.0017550974049573842</v>
      </c>
      <c r="C5" s="5">
        <v>0.018416702018478892</v>
      </c>
      <c r="D5" s="5">
        <v>0.01923961426616903</v>
      </c>
      <c r="E5" s="5">
        <v>0.020062526513859168</v>
      </c>
      <c r="F5" s="5">
        <v>0.02088543876154931</v>
      </c>
      <c r="G5" s="5">
        <v>0.021708351009239447</v>
      </c>
      <c r="H5" s="5">
        <v>0.022531263256929585</v>
      </c>
      <c r="I5" s="5">
        <v>0.023354175504619726</v>
      </c>
      <c r="J5" s="5">
        <v>0.024177087752309864</v>
      </c>
      <c r="K5" s="5">
        <v>0.025</v>
      </c>
    </row>
    <row r="6" spans="1:11" x14ac:dyDescent="0.25">
      <c r="A6" t="s">
        <v>50</v>
      </c>
      <c r="B6" s="18">
        <f>Assumptions!B29*(1+B5)</f>
        <v>12127407489.999998</v>
      </c>
      <c r="C6" s="18">
        <f>B6*(1+C5)</f>
        <v>12350754339.999996</v>
      </c>
      <c r="D6" s="18">
        <f>C6*(1+D5)</f>
        <v>12588378089.39781</v>
      </c>
      <c r="E6" s="18">
        <f>D6*(1+E5)</f>
        <v>12840932758.582838</v>
      </c>
      <c r="F6" s="18">
        <f>E6*(1+F5)</f>
        <v>13109121273.353394</v>
      </c>
      <c r="G6" s="18">
        <f>F6*(1+G5)</f>
        <v>13393698679.378038</v>
      </c>
      <c r="H6" s="18">
        <f>G6*(1+H5)</f>
        <v>13695475630.307096</v>
      </c>
      <c r="I6" s="18">
        <f>H6*(1+I5)</f>
        <v>14015322171.796532</v>
      </c>
      <c r="J6" s="18">
        <f>I6*(1+J5)</f>
        <v>14354171845.82095</v>
      </c>
      <c r="K6" s="18">
        <f>J6*(1+K5)</f>
        <v>14713026141.966473</v>
      </c>
    </row>
    <row r="7" spans="1:11" x14ac:dyDescent="0.25">
      <c r="A7" t="s">
        <v>4</v>
      </c>
      <c r="B7" s="9">
        <f>Assumptions!B7</f>
        <v>0.08743941968927432</v>
      </c>
      <c r="C7" s="9">
        <f>Assumptions!B7</f>
        <v>0.08743941968927432</v>
      </c>
      <c r="D7" s="9">
        <f>Assumptions!B7</f>
        <v>0.08743941968927432</v>
      </c>
      <c r="E7" s="9">
        <f>Assumptions!B7</f>
        <v>0.08743941968927432</v>
      </c>
      <c r="F7" s="9">
        <f>Assumptions!B7</f>
        <v>0.08743941968927432</v>
      </c>
      <c r="G7" s="9">
        <f>Assumptions!B7</f>
        <v>0.08743941968927432</v>
      </c>
      <c r="H7" s="9">
        <f>Assumptions!B7</f>
        <v>0.08743941968927432</v>
      </c>
      <c r="I7" s="9">
        <f>Assumptions!B7</f>
        <v>0.08743941968927432</v>
      </c>
      <c r="J7" s="9">
        <f>Assumptions!B7</f>
        <v>0.08743941968927432</v>
      </c>
      <c r="K7" s="9">
        <f>Assumptions!B7</f>
        <v>0.08743941968927432</v>
      </c>
    </row>
    <row r="8" spans="1:11" x14ac:dyDescent="0.25">
      <c r="A8" t="s">
        <v>51</v>
      </c>
      <c r="B8" s="18">
        <f>B6*B7</f>
        <v>1060413473.2609587</v>
      </c>
      <c r="C8" s="18">
        <f>C6*C7</f>
        <v>1079942792.214386</v>
      </c>
      <c r="D8" s="18">
        <f>D6*D7</f>
        <v>1100720474.9661202</v>
      </c>
      <c r="E8" s="18">
        <f>E6*E7</f>
        <v>1122803708.6794758</v>
      </c>
      <c r="F8" s="18">
        <f>F6*F7</f>
        <v>1146253956.7783415</v>
      </c>
      <c r="G8" s="18">
        <f>G6*G7</f>
        <v>1171137240.0178156</v>
      </c>
      <c r="H8" s="18">
        <f>H6*H7</f>
        <v>1197524441.482651</v>
      </c>
      <c r="I8" s="18">
        <f>I6*I7</f>
        <v>1225491637.4601085</v>
      </c>
      <c r="J8" s="18">
        <f>J6*J7</f>
        <v>1255120456.3187034</v>
      </c>
      <c r="K8" s="18">
        <f>K6*K7</f>
        <v>1286498467.726671</v>
      </c>
    </row>
    <row r="9" spans="1:11" x14ac:dyDescent="0.25">
      <c r="A9" t="s">
        <v>52</v>
      </c>
      <c r="B9" s="18">
        <f>B8*(1-Assumptions!B8)</f>
        <v>837726643.8761574</v>
      </c>
      <c r="C9" s="18">
        <f>C8*(1-Assumptions!B8)</f>
        <v>853154805.849365</v>
      </c>
      <c r="D9" s="18">
        <f>D8*(1-Assumptions!B8)</f>
        <v>869569175.223235</v>
      </c>
      <c r="E9" s="18">
        <f>E8*(1-Assumptions!B8)</f>
        <v>887014929.8567859</v>
      </c>
      <c r="F9" s="18">
        <f>F8*(1-Assumptions!B8)</f>
        <v>905540625.8548899</v>
      </c>
      <c r="G9" s="18">
        <f>G8*(1-Assumptions!B8)</f>
        <v>925198419.6140743</v>
      </c>
      <c r="H9" s="18">
        <f>H8*(1-Assumptions!B8)</f>
        <v>946044308.7712944</v>
      </c>
      <c r="I9" s="18">
        <f>I8*(1-Assumptions!B8)</f>
        <v>968138393.5934858</v>
      </c>
      <c r="J9" s="18">
        <f>J8*(1-Assumptions!B8)</f>
        <v>991545160.4917758</v>
      </c>
      <c r="K9" s="18">
        <f>K8*(1-Assumptions!B8)</f>
        <v>1016333789.5040702</v>
      </c>
    </row>
    <row r="10" spans="1:11" x14ac:dyDescent="0.25">
      <c r="A10" t="s">
        <v>53</v>
      </c>
      <c r="B10" s="18">
        <f>B6*Assumptions!B9</f>
        <v>252468265.43131968</v>
      </c>
      <c r="C10" s="18">
        <f>C6*Assumptions!B9</f>
        <v>257117898.2448905</v>
      </c>
      <c r="D10" s="18">
        <f>D6*Assumptions!B9</f>
        <v>262064747.42805034</v>
      </c>
      <c r="E10" s="18">
        <f>E6*Assumptions!B9</f>
        <v>267322428.3716734</v>
      </c>
      <c r="F10" s="18">
        <f>F6*Assumptions!B9</f>
        <v>272905574.57901865</v>
      </c>
      <c r="G10" s="18">
        <f>G6*Assumptions!B9</f>
        <v>278829904.5843582</v>
      </c>
      <c r="H10" s="18">
        <f>H6*Assumptions!B9</f>
        <v>285112294.56845295</v>
      </c>
      <c r="I10" s="18">
        <f>I6*Assumptions!B9</f>
        <v>291770857.1343295</v>
      </c>
      <c r="J10" s="18">
        <f>J6*Assumptions!B9</f>
        <v>298825026.7508328</v>
      </c>
      <c r="K10" s="18">
        <f>K6*Assumptions!B9</f>
        <v>306295652.4196036</v>
      </c>
    </row>
    <row r="11" spans="1:11" x14ac:dyDescent="0.25">
      <c r="A11" t="s">
        <v>54</v>
      </c>
      <c r="B11" s="18">
        <f>-B6*B19</f>
        <v>-278607845.6102966</v>
      </c>
      <c r="C11" s="18">
        <f>-C6*C19</f>
        <v>-310460862.7675884</v>
      </c>
      <c r="D11" s="18">
        <f>-D6*D19</f>
        <v>-343670110.0743691</v>
      </c>
      <c r="E11" s="18">
        <f>-E6*E19</f>
        <v>-378347525.8117831</v>
      </c>
      <c r="F11" s="18">
        <f>-F6*F19</f>
        <v>-414612255.1601413</v>
      </c>
      <c r="G11" s="18">
        <f>-G6*G19</f>
        <v>-452591287.87642413</v>
      </c>
      <c r="H11" s="18">
        <f>-H6*H19</f>
        <v>-492420147.53953844</v>
      </c>
      <c r="I11" s="18">
        <f>-I6*I19</f>
        <v>-534243637.35639983</v>
      </c>
      <c r="J11" s="18">
        <f>-J6*J19</f>
        <v>-578216647.9924212</v>
      </c>
      <c r="K11" s="18">
        <f>-K6*K19</f>
        <v>-624505033.4101375</v>
      </c>
    </row>
    <row r="12" spans="1:11" x14ac:dyDescent="0.25">
      <c r="A12" t="s">
        <v>55</v>
      </c>
      <c r="B12" s="18">
        <f>-(B6-Assumptions!B29)*Assumptions!B11</f>
        <v>-3021297.441672166</v>
      </c>
      <c r="C12" s="18">
        <f>-(C6-B6)*Assumptions!B11</f>
        <v>-31758916.77137355</v>
      </c>
      <c r="D12" s="18">
        <f>-(D6-C6)*Assumptions!B11</f>
        <v>-33789027.604494795</v>
      </c>
      <c r="E12" s="18">
        <f>-(E6-D6)*Assumptions!B11</f>
        <v>-35912137.193200424</v>
      </c>
      <c r="F12" s="18">
        <f>-(F6-E6)*Assumptions!B11</f>
        <v>-38135199.66651167</v>
      </c>
      <c r="G12" s="18">
        <f>-(G6-F6)*Assumptions!B11</f>
        <v>-40465626.235383</v>
      </c>
      <c r="H12" s="18">
        <f>-(H6-G6)*Assumptions!B11</f>
        <v>-42911324.10452584</v>
      </c>
      <c r="I12" s="18">
        <f>-(I6-H6)*Assumptions!B11</f>
        <v>-45480738.54981495</v>
      </c>
      <c r="J12" s="18">
        <f>-(J6-I6)*Assumptions!B11</f>
        <v>-48182898.46196012</v>
      </c>
      <c r="K12" s="18">
        <f>-(K6-J6)*Assumptions!B11</f>
        <v>-51027465.68548247</v>
      </c>
    </row>
    <row r="13" spans="1:11" x14ac:dyDescent="0.25">
      <c r="A13" s="19" t="s">
        <v>56</v>
      </c>
      <c r="B13" s="20">
        <f>B9+B10+B11+B12</f>
        <v>808565766.2555082</v>
      </c>
      <c r="C13" s="20">
        <f>C9+C10+C11+C12</f>
        <v>768052924.5552936</v>
      </c>
      <c r="D13" s="20">
        <f>D9+D10+D11+D12</f>
        <v>754174784.9724215</v>
      </c>
      <c r="E13" s="20">
        <f>E9+E10+E11+E12</f>
        <v>740077695.2234758</v>
      </c>
      <c r="F13" s="20">
        <f>F9+F10+F11+F12</f>
        <v>725698745.6072556</v>
      </c>
      <c r="G13" s="20">
        <f>G9+G10+G11+G12</f>
        <v>710971410.0866253</v>
      </c>
      <c r="H13" s="20">
        <f>H9+H10+H11+H12</f>
        <v>695825131.6956832</v>
      </c>
      <c r="I13" s="20">
        <f>I9+I10+I11+I12</f>
        <v>680184874.8216007</v>
      </c>
      <c r="J13" s="20">
        <f>J9+J10+J11+J12</f>
        <v>663970640.7882273</v>
      </c>
      <c r="K13" s="20">
        <f>K9+K10+K11+K12</f>
        <v>647096942.8280536</v>
      </c>
    </row>
    <row r="14" spans="1:11" x14ac:dyDescent="0.25">
      <c r="A14" t="s">
        <v>57</v>
      </c>
      <c r="B14" s="21">
        <f>1/(1+Assumptions!$B$26)^(1-0.5*Assumptions!$B$32)</f>
        <v>0.9688442675829665</v>
      </c>
      <c r="C14" s="21">
        <f>1/(1+Assumptions!$B$26)^(2-0.5*Assumptions!$B$32)</f>
        <v>0.9094145995003994</v>
      </c>
      <c r="D14" s="21">
        <f>1/(1+Assumptions!$B$26)^(3-0.5*Assumptions!$B$32)</f>
        <v>0.8536303939205061</v>
      </c>
      <c r="E14" s="21">
        <f>1/(1+Assumptions!$B$26)^(4-0.5*Assumptions!$B$32)</f>
        <v>0.8012680353110586</v>
      </c>
      <c r="F14" s="21">
        <f>1/(1+Assumptions!$B$26)^(5-0.5*Assumptions!$B$32)</f>
        <v>0.752117624892153</v>
      </c>
      <c r="G14" s="21">
        <f>1/(1+Assumptions!$B$26)^(6-0.5*Assumptions!$B$32)</f>
        <v>0.7059821392398505</v>
      </c>
      <c r="H14" s="21">
        <f>1/(1+Assumptions!$B$26)^(7-0.5*Assumptions!$B$32)</f>
        <v>0.6626766405017346</v>
      </c>
      <c r="I14" s="21">
        <f>1/(1+Assumptions!$B$26)^(8-0.5*Assumptions!$B$32)</f>
        <v>0.6220275350584635</v>
      </c>
      <c r="J14" s="21">
        <f>1/(1+Assumptions!$B$26)^(9-0.5*Assumptions!$B$32)</f>
        <v>0.5838718776596068</v>
      </c>
      <c r="K14" s="21">
        <f>1/(1+Assumptions!$B$26)^(10-0.5*Assumptions!$B$32)</f>
        <v>0.5480567182443356</v>
      </c>
    </row>
    <row r="15" spans="1:11" x14ac:dyDescent="0.25">
      <c r="A15" s="19" t="s">
        <v>58</v>
      </c>
      <c r="B15" s="20">
        <f>B13*B14</f>
        <v>783374307.6004779</v>
      </c>
      <c r="C15" s="20">
        <f>C13*C14</f>
        <v>698478542.7795627</v>
      </c>
      <c r="D15" s="20">
        <f>D13*D14</f>
        <v>643786518.7809212</v>
      </c>
      <c r="E15" s="20">
        <f>E13*E14</f>
        <v>593000600.8292509</v>
      </c>
      <c r="F15" s="20">
        <f>F13*F14</f>
        <v>545810816.9333438</v>
      </c>
      <c r="G15" s="20">
        <f>G13*G14</f>
        <v>501933117.0313288</v>
      </c>
      <c r="H15" s="20">
        <f>H13*H14</f>
        <v>461107060.6487724</v>
      </c>
      <c r="I15" s="20">
        <f>I13*I14</f>
        <v>423093721.06932986</v>
      </c>
      <c r="J15" s="20">
        <f>J13*J14</f>
        <v>387673784.7478746</v>
      </c>
      <c r="K15" s="20">
        <f>K13*K14</f>
        <v>354645826.8722855</v>
      </c>
    </row>
    <row r="17" spans="1:2" x14ac:dyDescent="0.25">
      <c r="A17" s="22" t="s">
        <v>59</v>
      </c>
      <c r="B17" s="23">
        <f>SUM(B15:K15)</f>
        <v>5392904297.293148</v>
      </c>
    </row>
    <row r="19" spans="1:11" x14ac:dyDescent="0.25">
      <c r="A19" t="s">
        <v>7</v>
      </c>
      <c r="B19" s="9">
        <f>Assumptions!$B$10+($B$20-Assumptions!$B$10)*0/9</f>
        <v>0.022973405143682252</v>
      </c>
      <c r="C19" s="9">
        <f>Assumptions!$B$10+($B$20-Assumptions!$B$10)*1/9</f>
        <v>0.02513699602639724</v>
      </c>
      <c r="D19" s="9">
        <f>Assumptions!$B$10+($B$20-Assumptions!$B$10)*2/9</f>
        <v>0.02730058690911223</v>
      </c>
      <c r="E19" s="9">
        <f>Assumptions!$B$10+($B$20-Assumptions!$B$10)*3/9</f>
        <v>0.029464177791827216</v>
      </c>
      <c r="F19" s="9">
        <f>Assumptions!$B$10+($B$20-Assumptions!$B$10)*4/9</f>
        <v>0.03162776867454221</v>
      </c>
      <c r="G19" s="9">
        <f>Assumptions!$B$10+($B$20-Assumptions!$B$10)*5/9</f>
        <v>0.03379135955725719</v>
      </c>
      <c r="H19" s="9">
        <f>Assumptions!$B$10+($B$20-Assumptions!$B$10)*6/9</f>
        <v>0.03595495043997218</v>
      </c>
      <c r="I19" s="9">
        <f>Assumptions!$B$10+($B$20-Assumptions!$B$10)*7/9</f>
        <v>0.038118541322687174</v>
      </c>
      <c r="J19" s="9">
        <f>Assumptions!$B$10+($B$20-Assumptions!$B$10)*8/9</f>
        <v>0.040282132205402166</v>
      </c>
      <c r="K19" s="9">
        <f>Assumptions!$B$10+($B$20-Assumptions!$B$10)*9/9</f>
        <v>0.04244572308811715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0.04244572308811715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647096942.8280536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1039187329.6487867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0.334047483947491</v>
      </c>
    </row>
    <row r="7" spans="1:2" x14ac:dyDescent="0.25">
      <c r="A7" t="s">
        <v>66</v>
      </c>
      <c r="B7" s="18">
        <f>-MAX(B5,0)*B6</f>
        <v>-347137912.8192891</v>
      </c>
    </row>
    <row r="8" spans="1:2" x14ac:dyDescent="0.25">
      <c r="A8" t="s">
        <v>67</v>
      </c>
      <c r="B8" s="18">
        <f>IF(OR(Assumptions!$B$33=0,Assumptions!B12&lt;=0),B5,MAX(B5+B7,0))</f>
        <v>692049416.8294976</v>
      </c>
    </row>
    <row r="9" spans="1:2" x14ac:dyDescent="0.25">
      <c r="A9" t="s">
        <v>68</v>
      </c>
      <c r="B9" s="18">
        <f>B8*(1+Assumptions!B12)/(Assumptions!B26-Assumptions!B12)</f>
        <v>17580217769.78213</v>
      </c>
    </row>
    <row r="10" spans="1:2" x14ac:dyDescent="0.25">
      <c r="A10" t="s">
        <v>69</v>
      </c>
      <c r="B10" s="18">
        <f>B9/(1+Assumptions!B26)^(10-0.5*Assumptions!B32)</f>
        <v>9634956456.927547</v>
      </c>
    </row>
    <row r="11" spans="1:2" x14ac:dyDescent="0.25">
      <c r="A11" t="s">
        <v>70</v>
      </c>
      <c r="B11" s="18">
        <f>Forecast!B17+B10</f>
        <v>15027860754.220695</v>
      </c>
    </row>
    <row r="12" spans="1:2" x14ac:dyDescent="0.25">
      <c r="A12" t="s">
        <v>71</v>
      </c>
      <c r="B12" s="18">
        <f>-Assumptions!B30</f>
        <v>-2153836000</v>
      </c>
    </row>
    <row r="13" spans="1:2" x14ac:dyDescent="0.25">
      <c r="A13" t="s">
        <v>72</v>
      </c>
      <c r="B13" s="18">
        <f>B11+B12</f>
        <v>12874024754.220695</v>
      </c>
    </row>
    <row r="14" spans="1:2" x14ac:dyDescent="0.25">
      <c r="A14" s="19" t="s">
        <v>73</v>
      </c>
      <c r="B14" s="24">
        <f>B13/Assumptions!B31</f>
        <v>23.386227609684166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1592794120.1462746</v>
      </c>
    </row>
    <row r="18" spans="1:2" x14ac:dyDescent="0.25">
      <c r="A18" t="s">
        <v>68</v>
      </c>
      <c r="B18" s="18">
        <f>B17*Assumptions!B13</f>
        <v>19053320707.360916</v>
      </c>
    </row>
    <row r="19" spans="1:2" x14ac:dyDescent="0.25">
      <c r="A19" t="s">
        <v>69</v>
      </c>
      <c r="B19" s="18">
        <f>B18/(1+Assumptions!B26)^(10-0.5*Assumptions!B32)</f>
        <v>10442300418.533066</v>
      </c>
    </row>
    <row r="20" spans="1:2" x14ac:dyDescent="0.25">
      <c r="A20" t="s">
        <v>70</v>
      </c>
      <c r="B20" s="18">
        <f>Forecast!B17+B19</f>
        <v>15835204715.826214</v>
      </c>
    </row>
    <row r="21" spans="1:2" x14ac:dyDescent="0.25">
      <c r="A21" t="s">
        <v>71</v>
      </c>
      <c r="B21" s="18">
        <f>-Assumptions!B30</f>
        <v>-2153836000</v>
      </c>
    </row>
    <row r="22" spans="1:2" x14ac:dyDescent="0.25">
      <c r="A22" t="s">
        <v>72</v>
      </c>
      <c r="B22" s="18">
        <f>B20+B21</f>
        <v>13681368715.826214</v>
      </c>
    </row>
    <row r="23" spans="1:2" x14ac:dyDescent="0.25">
      <c r="A23" s="19" t="s">
        <v>73</v>
      </c>
      <c r="B23" s="25">
        <f>B22/Assumptions!B31</f>
        <v>24.852803137218462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23.386227609684166</v>
      </c>
    </row>
    <row r="29" spans="1:2" x14ac:dyDescent="0.25">
      <c r="A29" s="19" t="s">
        <v>81</v>
      </c>
      <c r="B29" s="11">
        <f>B28/B26-1</f>
        <v>0.09897686135733852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0.045349</v>
      </c>
      <c r="B5" s="31">
        <v>40.73039385980836</v>
      </c>
      <c r="C5" s="31">
        <v>43.69110808998729</v>
      </c>
      <c r="D5" s="31">
        <v>48.2814671187928</v>
      </c>
      <c r="E5" s="31">
        <v>56.09406147195288</v>
      </c>
      <c r="F5" s="31">
        <v>71.79924865891954</v>
      </c>
    </row>
    <row r="6" spans="1:6" x14ac:dyDescent="0.25">
      <c r="A6" s="30">
        <v>0.055349</v>
      </c>
      <c r="B6" s="31">
        <v>29.874735062182797</v>
      </c>
      <c r="C6" s="31">
        <v>30.629464168693897</v>
      </c>
      <c r="D6" s="31">
        <v>31.743432081341812</v>
      </c>
      <c r="E6" s="31">
        <v>33.4292145266661</v>
      </c>
      <c r="F6" s="31">
        <v>36.10831713099464</v>
      </c>
    </row>
    <row r="7" spans="1:6" x14ac:dyDescent="0.25">
      <c r="A7" s="30">
        <v>0.065349</v>
      </c>
      <c r="B7" s="31">
        <v>23.33244683242682</v>
      </c>
      <c r="C7" s="31">
        <v>23.32152356086969</v>
      </c>
      <c r="D7" s="32">
        <v>23.38645835472032</v>
      </c>
      <c r="E7" s="31">
        <v>23.559440836913357</v>
      </c>
      <c r="F7" s="31">
        <v>23.89387360144319</v>
      </c>
    </row>
    <row r="8" spans="1:6" x14ac:dyDescent="0.25">
      <c r="A8" s="30">
        <v>0.075349</v>
      </c>
      <c r="B8" s="31">
        <v>18.987936455622876</v>
      </c>
      <c r="C8" s="31">
        <v>18.690193288495546</v>
      </c>
      <c r="D8" s="31">
        <v>18.39245012136821</v>
      </c>
      <c r="E8" s="31">
        <v>18.094706954240877</v>
      </c>
      <c r="F8" s="31">
        <v>17.79696378711354</v>
      </c>
    </row>
    <row r="9" spans="1:6" x14ac:dyDescent="0.25">
      <c r="A9" s="30">
        <v>0.085349</v>
      </c>
      <c r="B9" s="31">
        <v>16.264208311731842</v>
      </c>
      <c r="C9" s="31">
        <v>16.01542390045031</v>
      </c>
      <c r="D9" s="31">
        <v>15.766639489168778</v>
      </c>
      <c r="E9" s="31">
        <v>15.51785507788725</v>
      </c>
      <c r="F9" s="31">
        <v>15.269070666605717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12106160000</v>
      </c>
      <c r="C5" s="18">
        <v>11920797000</v>
      </c>
      <c r="D5" s="18">
        <v>12110010000</v>
      </c>
      <c r="E5" s="18">
        <v>12458806000</v>
      </c>
      <c r="F5" s="6" t="s">
        <v>91</v>
      </c>
    </row>
    <row r="6" spans="1:6" x14ac:dyDescent="0.25">
      <c r="A6" t="s">
        <v>51</v>
      </c>
      <c r="B6" s="18">
        <v>895192000</v>
      </c>
      <c r="C6" s="18">
        <v>1016844000</v>
      </c>
      <c r="D6" s="18">
        <v>1057674000</v>
      </c>
      <c r="E6" s="18">
        <v>1285421000</v>
      </c>
      <c r="F6" s="6" t="s">
        <v>92</v>
      </c>
    </row>
    <row r="7" spans="1:6" x14ac:dyDescent="0.25">
      <c r="A7" t="s">
        <v>93</v>
      </c>
      <c r="B7" s="18">
        <v>263901000</v>
      </c>
      <c r="C7" s="18">
        <v>257756000</v>
      </c>
      <c r="D7" s="18">
        <v>253311000</v>
      </c>
      <c r="E7" s="18">
        <v>235885000</v>
      </c>
      <c r="F7" s="6" t="s">
        <v>94</v>
      </c>
    </row>
    <row r="8" spans="1:6" x14ac:dyDescent="0.25">
      <c r="A8" t="s">
        <v>95</v>
      </c>
      <c r="B8" s="18">
        <v>310902000</v>
      </c>
      <c r="C8" s="18">
        <v>256441000</v>
      </c>
      <c r="D8" s="18">
        <v>270211000</v>
      </c>
      <c r="E8" s="18">
        <v>278918000</v>
      </c>
      <c r="F8" s="6" t="s">
        <v>96</v>
      </c>
    </row>
    <row r="9" spans="1:6" x14ac:dyDescent="0.25">
      <c r="A9" t="s">
        <v>97</v>
      </c>
      <c r="B9" s="18">
        <v>243328000</v>
      </c>
      <c r="C9" s="18">
        <v>-68158000</v>
      </c>
      <c r="D9" s="18">
        <v>124758000</v>
      </c>
      <c r="E9" s="18">
        <v>371792000</v>
      </c>
      <c r="F9" s="6" t="s">
        <v>98</v>
      </c>
    </row>
    <row r="10" spans="1:6" x14ac:dyDescent="0.25">
      <c r="A10" t="s">
        <v>99</v>
      </c>
      <c r="B10" s="18">
        <v>2857424000</v>
      </c>
      <c r="C10" s="18">
        <v>2858757000</v>
      </c>
      <c r="D10" s="18">
        <v>3309248000</v>
      </c>
      <c r="E10" s="18">
        <v>3299345000</v>
      </c>
      <c r="F10" s="6" t="s">
        <v>100</v>
      </c>
    </row>
    <row r="11" spans="1:6" x14ac:dyDescent="0.25">
      <c r="A11" t="s">
        <v>101</v>
      </c>
      <c r="B11" s="18">
        <v>703588000</v>
      </c>
      <c r="C11" s="18">
        <v>766623000</v>
      </c>
      <c r="D11" s="18">
        <v>753196000</v>
      </c>
      <c r="E11" s="18">
        <v>998256000</v>
      </c>
      <c r="F11" s="6" t="s">
        <v>102</v>
      </c>
    </row>
    <row r="12" spans="1:6" x14ac:dyDescent="0.25">
      <c r="A12" t="s">
        <v>34</v>
      </c>
      <c r="B12" s="34">
        <v>550496000</v>
      </c>
      <c r="C12" s="34">
        <v>548832000</v>
      </c>
      <c r="D12" s="34">
        <v>548982000</v>
      </c>
      <c r="E12" s="34">
        <v>549566000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