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<sst xmlns="http://schemas.openxmlformats.org/spreadsheetml/2006/main" count="114" uniqueCount="102">
  <si>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HSBC Holdings plc (HSBA.L)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</si>
  <si>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</si>
  <si>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</si>
  <si>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</si>
  <si>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</si>
  <si>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</si>
  <si>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</si>
  <si>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</si>
  <si>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</si>
  <si>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</si>
  <si>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</si>
  <si>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</si>
  <si>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</si>
  <si>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</si>
  <si>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</si>
  <si>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</si>
  <si>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</si>
  <si>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</si>
  <si>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</si>
  <si>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</si>
  <si>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</si>
  <si>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</si>
  <si>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25.3%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</si>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</sst>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0.09753298884807426</v>
      </c>
    </row>
    <row r="7" spans="1:2" x14ac:dyDescent="0.25">
      <c r="A7" t="s">
        <v>5</v>
      </c>
      <c r="B7" s="6">
        <v>0.42208648545599126</v>
      </c>
    </row>
    <row r="8" spans="1:2" x14ac:dyDescent="0.25">
      <c r="A8" t="s">
        <v>6</v>
      </c>
      <c r="B8" s="6">
        <v>0.20850333404679622</v>
      </c>
    </row>
    <row r="9" spans="1:2" x14ac:dyDescent="0.25">
      <c r="A9" t="s">
        <v>7</v>
      </c>
      <c r="B9" s="6">
        <v>0.06378500349983776</v>
      </c>
    </row>
    <row r="10" spans="1:2" x14ac:dyDescent="0.25">
      <c r="A10" t="s">
        <v>8</v>
      </c>
      <c r="B10" s="6">
        <v>0.06565645390635919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5.95198590356948</v>
      </c>
    </row>
    <row r="14" spans="1:3" x14ac:dyDescent="0.25">
      <c r="A14" t="s">
        <v>12</v>
      </c>
      <c r="B14" s="6">
        <v>0.0679059450209406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0.7125699999999999</v>
      </c>
      <c r="C19" s="8" t="s">
        <v>19</v>
      </c>
    </row>
    <row r="20" spans="1:2" x14ac:dyDescent="0.25">
      <c r="A20" t="s">
        <v>20</v>
      </c>
      <c r="B20" s="10">
        <f>B17+B19*B18</f>
        <v>0.08419135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258864005120</v>
      </c>
    </row>
    <row r="23" spans="1:2" x14ac:dyDescent="0.25">
      <c r="A23" t="s">
        <v>24</v>
      </c>
      <c r="B23" s="11">
        <v>256139000000</v>
      </c>
    </row>
    <row r="24" spans="1:2" x14ac:dyDescent="0.25">
      <c r="A24" t="s">
        <v>25</v>
      </c>
      <c r="B24" s="10">
        <f>B22/(B22+B23)</f>
        <v>0.5026456206011507</v>
      </c>
    </row>
    <row r="25" spans="1:2" x14ac:dyDescent="0.25">
      <c r="A25" t="s">
        <v>26</v>
      </c>
      <c r="B25" s="10">
        <f>1-B24</f>
        <v>0.4973543793988493</v>
      </c>
    </row>
    <row r="26" spans="1:2" x14ac:dyDescent="0.25">
      <c r="A26" t="s">
        <v>27</v>
      </c>
      <c r="B26" s="12">
        <f>B24*B20+B25*B21*(1-B8)</f>
        <v>0.0679059450209406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71020000000</v>
      </c>
      <c r="C29" s="8" t="s">
        <v>30</v>
      </c>
    </row>
    <row r="30" spans="1:2" x14ac:dyDescent="0.25">
      <c r="A30" t="s">
        <v>31</v>
      </c>
      <c r="B30" s="11">
        <v>-51598000000</v>
      </c>
    </row>
    <row r="31" spans="1:2" x14ac:dyDescent="0.25">
      <c r="A31" t="s">
        <v>32</v>
      </c>
      <c r="B31" s="13">
        <v>17547000000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0.09753298884807426</v>
      </c>
      <c r="C5" s="10">
        <f>Assumptions!B6</f>
        <v>0.09753298884807426</v>
      </c>
      <c r="D5" s="10">
        <f>Assumptions!B6</f>
        <v>0.09753298884807426</v>
      </c>
      <c r="E5" s="10">
        <f>Assumptions!B6</f>
        <v>0.09753298884807426</v>
      </c>
      <c r="F5" s="10">
        <f>Assumptions!B6</f>
        <v>0.09753298884807426</v>
      </c>
    </row>
    <row r="6" spans="1:6" x14ac:dyDescent="0.25">
      <c r="A6" t="s">
        <v>43</v>
      </c>
      <c r="B6" s="18">
        <f>Assumptions!B29*(1+B5)</f>
        <v>77946792867.99023</v>
      </c>
      <c r="C6" s="18">
        <f>B6*(1+C5)</f>
        <v>85549176547.52708</v>
      </c>
      <c r="D6" s="18">
        <f>C6*(1+D5)</f>
        <v>93893043429.69897</v>
      </c>
      <c r="E6" s="18">
        <f>D6*(1+E5)</f>
        <v>103050712587.43956</v>
      </c>
      <c r="F6" s="18">
        <f>E6*(1+F5)</f>
        <v>113101556589.0164</v>
      </c>
    </row>
    <row r="7" spans="1:6" x14ac:dyDescent="0.25">
      <c r="A7" t="s">
        <v>5</v>
      </c>
      <c r="B7" s="10">
        <f>Assumptions!B7</f>
        <v>0.42208648545599126</v>
      </c>
      <c r="C7" s="10">
        <f>Assumptions!B7</f>
        <v>0.42208648545599126</v>
      </c>
      <c r="D7" s="10">
        <f>Assumptions!B7</f>
        <v>0.42208648545599126</v>
      </c>
      <c r="E7" s="10">
        <f>Assumptions!B7</f>
        <v>0.42208648545599126</v>
      </c>
      <c r="F7" s="10">
        <f>Assumptions!B7</f>
        <v>0.42208648545599126</v>
      </c>
    </row>
    <row r="8" spans="1:6" x14ac:dyDescent="0.25">
      <c r="A8" t="s">
        <v>44</v>
      </c>
      <c r="B8" s="18">
        <f>B6*B7</f>
        <v>32900287854.21612</v>
      </c>
      <c r="C8" s="18">
        <f>C6*C7</f>
        <v>36109151262.599815</v>
      </c>
      <c r="D8" s="18">
        <f>D6*D7</f>
        <v>39630984710.00839</v>
      </c>
      <c r="E8" s="18">
        <f>E6*E7</f>
        <v>43496313099.767845</v>
      </c>
      <c r="F8" s="18">
        <f>F6*F7</f>
        <v>47738638520.25984</v>
      </c>
    </row>
    <row r="9" spans="1:6" x14ac:dyDescent="0.25">
      <c r="A9" t="s">
        <v>45</v>
      </c>
      <c r="B9" s="18">
        <f>B8*(1-Assumptions!B8)</f>
        <v>26040468145.512745</v>
      </c>
      <c r="C9" s="18">
        <f>C8*(1-Assumptions!B8)</f>
        <v>28580272834.747673</v>
      </c>
      <c r="D9" s="18">
        <f>D8*(1-Assumptions!B8)</f>
        <v>31367792266.41404</v>
      </c>
      <c r="E9" s="18">
        <f>E8*(1-Assumptions!B8)</f>
        <v>34427186799.722916</v>
      </c>
      <c r="F9" s="18">
        <f>F8*(1-Assumptions!B8)</f>
        <v>37784973225.93085</v>
      </c>
    </row>
    <row r="10" spans="1:6" x14ac:dyDescent="0.25">
      <c r="A10" t="s">
        <v>46</v>
      </c>
      <c r="B10" s="18">
        <f>B6*Assumptions!B9</f>
        <v>4971836455.885886</v>
      </c>
      <c r="C10" s="18">
        <f>C6*Assumptions!B9</f>
        <v>5456754525.492253</v>
      </c>
      <c r="D10" s="18">
        <f>D6*Assumptions!B9</f>
        <v>5988968103.773768</v>
      </c>
      <c r="E10" s="18">
        <f>E6*Assumptions!B9</f>
        <v>6573090063.050608</v>
      </c>
      <c r="F10" s="18">
        <f>F6*Assumptions!B9</f>
        <v>7214183182.86751</v>
      </c>
    </row>
    <row r="11" spans="1:6" x14ac:dyDescent="0.25">
      <c r="A11" t="s">
        <v>47</v>
      </c>
      <c r="B11" s="18">
        <f>-B6*Assumptions!B10</f>
        <v>-5117710013.085728</v>
      </c>
      <c r="C11" s="18">
        <f>-C6*Assumptions!B10</f>
        <v>-5616855566.719696</v>
      </c>
      <c r="D11" s="18">
        <f>-D6*Assumptions!B10</f>
        <v>-6164684278.069812</v>
      </c>
      <c r="E11" s="18">
        <f>-E6*Assumptions!B10</f>
        <v>-6765944361.014694</v>
      </c>
      <c r="F11" s="18">
        <f>-F6*Assumptions!B10</f>
        <v>-7425847136.924231</v>
      </c>
    </row>
    <row r="12" spans="1:6" x14ac:dyDescent="0.25">
      <c r="A12" t="s">
        <v>48</v>
      </c>
      <c r="B12" s="18">
        <f>-(B6-Assumptions!B29)*Assumptions!B11</f>
        <v>6926792867.990234</v>
      </c>
      <c r="C12" s="18">
        <f>-(C6-B6)*Assumptions!B11</f>
        <v>7602383679.53685</v>
      </c>
      <c r="D12" s="18">
        <f>-(D6-C6)*Assumptions!B11</f>
        <v>8343866882.17189</v>
      </c>
      <c r="E12" s="18">
        <f>-(E6-D6)*Assumptions!B11</f>
        <v>9157669157.740585</v>
      </c>
      <c r="F12" s="18">
        <f>-(F6-E6)*Assumptions!B11</f>
        <v>10050844001.576843</v>
      </c>
    </row>
    <row r="13" spans="1:6" x14ac:dyDescent="0.25">
      <c r="A13" s="19" t="s">
        <v>49</v>
      </c>
      <c r="B13" s="20">
        <f>B9+B10+B11+B12</f>
        <v>32821387456.30314</v>
      </c>
      <c r="C13" s="20">
        <f>C9+C10+C11+C12</f>
        <v>36022555473.05708</v>
      </c>
      <c r="D13" s="20">
        <f>D9+D10+D11+D12</f>
        <v>39535942974.28989</v>
      </c>
      <c r="E13" s="20">
        <f>E9+E10+E11+E12</f>
        <v>43392001659.49941</v>
      </c>
      <c r="F13" s="20">
        <f>F9+F10+F11+F12</f>
        <v>47624153273.450966</v>
      </c>
    </row>
    <row r="14" spans="1:6" x14ac:dyDescent="0.25">
      <c r="A14" t="s">
        <v>50</v>
      </c>
      <c r="B14" s="21">
        <f>1/(1+Assumptions!$B$26)^(1-0.5*Assumptions!$B$32)</f>
        <v>0.9676838608293153</v>
      </c>
      <c r="C14" s="21">
        <f>1/(1+Assumptions!$B$26)^(2-0.5*Assumptions!$B$32)</f>
        <v>0.906150832234893</v>
      </c>
      <c r="D14" s="21">
        <f>1/(1+Assumptions!$B$26)^(3-0.5*Assumptions!$B$32)</f>
        <v>0.8485305625085964</v>
      </c>
      <c r="E14" s="21">
        <f>1/(1+Assumptions!$B$26)^(4-0.5*Assumptions!$B$32)</f>
        <v>0.7945742473528017</v>
      </c>
      <c r="F14" s="21">
        <f>1/(1+Assumptions!$B$26)^(5-0.5*Assumptions!$B$32)</f>
        <v>0.7440489034240002</v>
      </c>
    </row>
    <row r="15" spans="1:6" x14ac:dyDescent="0.25">
      <c r="A15" s="19" t="s">
        <v>51</v>
      </c>
      <c r="B15" s="20">
        <f>B13*B14</f>
        <v>31760726931.490284</v>
      </c>
      <c r="C15" s="20">
        <f>C13*C14</f>
        <v>32641868621.138275</v>
      </c>
      <c r="D15" s="20">
        <f>D13*D14</f>
        <v>33547455931.281986</v>
      </c>
      <c r="E15" s="20">
        <f>E13*E14</f>
        <v>34478167059.728264</v>
      </c>
      <c r="F15" s="20">
        <f>F13*F14</f>
        <v>35434699019.607704</v>
      </c>
    </row>
    <row r="17" spans="1:2" x14ac:dyDescent="0.25">
      <c r="A17" s="22" t="s">
        <v>52</v>
      </c>
      <c r="B17" s="23">
        <f>SUM(B15:F15)</f>
        <v>167862917563.2465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47624153273.450966</v>
      </c>
    </row>
    <row r="5" spans="1:2" x14ac:dyDescent="0.25">
      <c r="A5" t="s">
        <v>56</v>
      </c>
      <c r="B5" s="18">
        <f>IF(Assumptions!$B$33=0,B4,B4-Forecast!F11-Forecast!F10-Forecast!F12)</f>
        <v>37784973225.93085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0.368156278397872</v>
      </c>
    </row>
    <row r="7" spans="1:2" x14ac:dyDescent="0.25">
      <c r="A7" t="s">
        <v>58</v>
      </c>
      <c r="B7" s="18">
        <f>-MAX(Forecast!F9,0)*B6</f>
        <v>-13910775122.221937</v>
      </c>
    </row>
    <row r="8" spans="1:2" x14ac:dyDescent="0.25">
      <c r="A8" t="s">
        <v>59</v>
      </c>
      <c r="B8" s="18">
        <f>IF(OR(Assumptions!$B$33=0,Assumptions!B12&lt;=0),B5,MAX(B5+B7,0))</f>
        <v>23874198103.708908</v>
      </c>
    </row>
    <row r="9" spans="1:2" x14ac:dyDescent="0.25">
      <c r="A9" t="s">
        <v>60</v>
      </c>
      <c r="B9" s="18">
        <f>B8*(1+Assumptions!B12)/(Assumptions!B26-Assumptions!B12)</f>
        <v>570341780011.0994</v>
      </c>
    </row>
    <row r="10" spans="1:2" x14ac:dyDescent="0.25">
      <c r="A10" t="s">
        <v>61</v>
      </c>
      <c r="B10" s="18">
        <f>B9/(1+Assumptions!B26)^(5-0.5*Assumptions!B32)</f>
        <v>424362175994.1508</v>
      </c>
    </row>
    <row r="11" spans="1:2" x14ac:dyDescent="0.25">
      <c r="A11" t="s">
        <v>62</v>
      </c>
      <c r="B11" s="18">
        <f>Forecast!B17+B10</f>
        <v>592225093557.3973</v>
      </c>
    </row>
    <row r="12" spans="1:2" x14ac:dyDescent="0.25">
      <c r="A12" t="s">
        <v>63</v>
      </c>
      <c r="B12" s="18">
        <f>-Assumptions!B30</f>
        <v>51598000000</v>
      </c>
    </row>
    <row r="13" spans="1:2" x14ac:dyDescent="0.25">
      <c r="A13" t="s">
        <v>64</v>
      </c>
      <c r="B13" s="18">
        <f>B11+B12</f>
        <v>643823093557.3973</v>
      </c>
    </row>
    <row r="14" spans="1:2" x14ac:dyDescent="0.25">
      <c r="A14" s="19" t="s">
        <v>65</v>
      </c>
      <c r="B14" s="24">
        <f>B13/Assumptions!B31</f>
        <v>36.691348581375586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54952821703.12735</v>
      </c>
    </row>
    <row r="18" spans="1:2" x14ac:dyDescent="0.25">
      <c r="A18" t="s">
        <v>60</v>
      </c>
      <c r="B18" s="18">
        <f>B17*Assumptions!B13</f>
        <v>327078420138.381</v>
      </c>
    </row>
    <row r="19" spans="1:2" x14ac:dyDescent="0.25">
      <c r="A19" t="s">
        <v>61</v>
      </c>
      <c r="B19" s="18">
        <f>B18/(1+Assumptions!B26)^(5-0.5*Assumptions!B32)</f>
        <v>243362339837.6168</v>
      </c>
    </row>
    <row r="20" spans="1:2" x14ac:dyDescent="0.25">
      <c r="A20" t="s">
        <v>62</v>
      </c>
      <c r="B20" s="18">
        <f>Forecast!B17+B19</f>
        <v>411225257400.8633</v>
      </c>
    </row>
    <row r="21" spans="1:2" x14ac:dyDescent="0.25">
      <c r="A21" t="s">
        <v>63</v>
      </c>
      <c r="B21" s="18">
        <f>-Assumptions!B30</f>
        <v>51598000000</v>
      </c>
    </row>
    <row r="22" spans="1:2" x14ac:dyDescent="0.25">
      <c r="A22" t="s">
        <v>64</v>
      </c>
      <c r="B22" s="18">
        <f>B20+B21</f>
        <v>462823257400.8633</v>
      </c>
    </row>
    <row r="23" spans="1:2" x14ac:dyDescent="0.25">
      <c r="A23" s="19" t="s">
        <v>65</v>
      </c>
      <c r="B23" s="25">
        <f>B22/Assumptions!B31</f>
        <v>26.376204331273907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1512.6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2739.486159131245</v>
      </c>
    </row>
    <row r="29" spans="1:2" x14ac:dyDescent="0.25">
      <c r="A29" s="19" t="s">
        <v>73</v>
      </c>
      <c r="B29" s="12">
        <f>B28/B26-1</f>
        <v>0.8111107755726863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0.047906</v>
      </c>
      <c r="B5" s="31">
        <v>52.116754093079</v>
      </c>
      <c r="C5" s="31">
        <v>53.55847675359026</v>
      </c>
      <c r="D5" s="31">
        <v>55.56036719726319</v>
      </c>
      <c r="E5" s="31">
        <v>58.59168247466327</v>
      </c>
      <c r="F5" s="31">
        <v>63.84887171843477</v>
      </c>
    </row>
    <row r="6" spans="1:6" x14ac:dyDescent="0.25">
      <c r="A6" s="30">
        <v>0.057906</v>
      </c>
      <c r="B6" s="31">
        <v>42.03921694345522</v>
      </c>
      <c r="C6" s="31">
        <v>42.18354501866888</v>
      </c>
      <c r="D6" s="31">
        <v>42.32787309388252</v>
      </c>
      <c r="E6" s="31">
        <v>42.472201169096174</v>
      </c>
      <c r="F6" s="31">
        <v>42.61652924430983</v>
      </c>
    </row>
    <row r="7" spans="1:6" x14ac:dyDescent="0.25">
      <c r="A7" s="30">
        <v>0.067906</v>
      </c>
      <c r="B7" s="31">
        <v>36.45537784854528</v>
      </c>
      <c r="C7" s="31">
        <v>36.57334999418405</v>
      </c>
      <c r="D7" s="32">
        <v>36.691322139822816</v>
      </c>
      <c r="E7" s="31">
        <v>36.809294285461576</v>
      </c>
      <c r="F7" s="31">
        <v>36.927266431100335</v>
      </c>
    </row>
    <row r="8" spans="1:6" x14ac:dyDescent="0.25">
      <c r="A8" s="30">
        <v>0.077906</v>
      </c>
      <c r="B8" s="31">
        <v>32.2996690904473</v>
      </c>
      <c r="C8" s="31">
        <v>32.39827463557804</v>
      </c>
      <c r="D8" s="31">
        <v>32.49688018070877</v>
      </c>
      <c r="E8" s="31">
        <v>32.5954857258395</v>
      </c>
      <c r="F8" s="31">
        <v>32.694091270970226</v>
      </c>
    </row>
    <row r="9" spans="1:6" x14ac:dyDescent="0.25">
      <c r="A9" s="30">
        <v>0.087906</v>
      </c>
      <c r="B9" s="31">
        <v>29.085042810429474</v>
      </c>
      <c r="C9" s="31">
        <v>29.16887417866206</v>
      </c>
      <c r="D9" s="31">
        <v>29.25270554689464</v>
      </c>
      <c r="E9" s="31">
        <v>29.336536915127226</v>
      </c>
      <c r="F9" s="31">
        <v>29.420368283359814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71020000000</v>
      </c>
      <c r="C5" s="18">
        <v>67396000000</v>
      </c>
      <c r="D5" s="18">
        <v>64528000000</v>
      </c>
      <c r="E5" s="18">
        <v>53719000000</v>
      </c>
      <c r="F5" s="8" t="s">
        <v>84</v>
      </c>
    </row>
    <row r="6" spans="1:6" x14ac:dyDescent="0.25">
      <c r="A6" t="s">
        <v>44</v>
      </c>
      <c r="B6" s="18">
        <v>29907000000</v>
      </c>
      <c r="C6" s="18">
        <v>32309000000</v>
      </c>
      <c r="D6" s="18">
        <v>30348000000</v>
      </c>
      <c r="E6" s="18">
        <v>17058000000</v>
      </c>
      <c r="F6" s="8" t="s">
        <v>85</v>
      </c>
    </row>
    <row r="7" spans="1:6" x14ac:dyDescent="0.25">
      <c r="A7" t="s">
        <v>86</v>
      </c>
      <c r="B7" s="18">
        <v>4916000000</v>
      </c>
      <c r="C7" s="18">
        <v>4080000000</v>
      </c>
      <c r="D7" s="18">
        <v>3466000000</v>
      </c>
      <c r="E7" s="18">
        <v>3850000000</v>
      </c>
      <c r="F7" s="8" t="s">
        <v>87</v>
      </c>
    </row>
    <row r="8" spans="1:6" x14ac:dyDescent="0.25">
      <c r="A8" t="s">
        <v>88</v>
      </c>
      <c r="B8" s="18">
        <v>4661000000</v>
      </c>
      <c r="C8" s="18">
        <v>3886000000</v>
      </c>
      <c r="D8" s="18">
        <v>3695000000</v>
      </c>
      <c r="E8" s="18">
        <v>4409000000</v>
      </c>
      <c r="F8" s="8" t="s">
        <v>89</v>
      </c>
    </row>
    <row r="9" spans="1:6" x14ac:dyDescent="0.25">
      <c r="A9" t="s">
        <v>90</v>
      </c>
      <c r="B9" s="18">
        <v>-30790000000</v>
      </c>
      <c r="C9" s="18">
        <v>-9714000000</v>
      </c>
      <c r="D9" s="18">
        <v>-19436000000</v>
      </c>
      <c r="E9" s="18">
        <v>52249000000</v>
      </c>
      <c r="F9" s="8" t="s">
        <v>91</v>
      </c>
    </row>
    <row r="10" spans="1:6" x14ac:dyDescent="0.25">
      <c r="A10" t="s">
        <v>92</v>
      </c>
      <c r="B10" s="18">
        <v>256139000000</v>
      </c>
      <c r="C10" s="18">
        <v>242347000000</v>
      </c>
      <c r="D10" s="18">
        <v>235159000000</v>
      </c>
      <c r="E10" s="18">
        <v>204239000000</v>
      </c>
      <c r="F10" s="8" t="s">
        <v>93</v>
      </c>
    </row>
    <row r="11" spans="1:6" x14ac:dyDescent="0.25">
      <c r="A11" t="s">
        <v>94</v>
      </c>
      <c r="B11" s="18">
        <v>307737000000</v>
      </c>
      <c r="C11" s="18">
        <v>303565000000</v>
      </c>
      <c r="D11" s="18">
        <v>338764000000</v>
      </c>
      <c r="E11" s="18">
        <v>369616000000</v>
      </c>
      <c r="F11" s="8" t="s">
        <v>95</v>
      </c>
    </row>
    <row r="12" spans="1:6" x14ac:dyDescent="0.25">
      <c r="A12" t="s">
        <v>32</v>
      </c>
      <c r="B12" s="34">
        <v>17547000000</v>
      </c>
      <c r="C12" s="34">
        <v>18485000000</v>
      </c>
      <c r="D12" s="34">
        <v>19600000000</v>
      </c>
      <c r="E12" s="34">
        <v>19986000000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