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<sst xmlns="http://schemas.openxmlformats.org/spreadsheetml/2006/main" count="119" uniqueCount="106">
  <si>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Henry Schein, Inc. (HSIC)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</si>
  <si>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</si>
  <si>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</si>
  <si>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</si>
  <si>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</si>
  <si>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</si>
  <si>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</si>
  <si>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</si>
  <si>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</si>
  <si>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</si>
  <si>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</si>
  <si>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</si>
  <si>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</si>
  <si>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</si>
  <si>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</si>
  <si>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</si>
  <si>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</si>
  <si>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</si>
  <si>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</si>
  <si>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</si>
  <si>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</si>
  <si>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</si>
  <si>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</si>
  <si>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</si>
  <si>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5.1x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</si>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</sst>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0.05165298467839796</v>
      </c>
    </row>
    <row r="7" spans="1:2" x14ac:dyDescent="0.25">
      <c r="A7" t="s">
        <v>4</v>
      </c>
      <c r="B7" s="5">
        <v>0.06023116707665074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0.018948093606775546</v>
      </c>
    </row>
    <row r="10" spans="1:3" x14ac:dyDescent="0.25">
      <c r="A10" t="s">
        <v>7</v>
      </c>
      <c r="B10" s="5">
        <v>0.013629803388949466</v>
      </c>
      <c r="C10" s="6" t="s">
        <v>8</v>
      </c>
    </row>
    <row r="11" spans="1:2" x14ac:dyDescent="0.25">
      <c r="A11" t="s">
        <v>9</v>
      </c>
      <c r="B11" s="5">
        <v>0.18969766576612435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12.261387826756497</v>
      </c>
    </row>
    <row r="14" spans="1:3" x14ac:dyDescent="0.25">
      <c r="A14" t="s">
        <v>12</v>
      </c>
      <c r="B14" s="5">
        <v>0.09583679040136153</v>
      </c>
      <c r="C14" s="6" t="s">
        <v>13</v>
      </c>
    </row>
    <row r="15" spans="1:3" x14ac:dyDescent="0.25">
      <c r="A15" t="s">
        <v>14</v>
      </c>
      <c r="B15" s="5">
        <v>0.006314999049011444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0.89481</v>
      </c>
      <c r="C19" s="6" t="s">
        <v>21</v>
      </c>
    </row>
    <row r="20" spans="1:2" x14ac:dyDescent="0.25">
      <c r="A20" t="s">
        <v>22</v>
      </c>
      <c r="B20" s="9">
        <f>B17+B19*B18</f>
        <v>0.086790463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9459581952</v>
      </c>
    </row>
    <row r="23" spans="1:2" x14ac:dyDescent="0.25">
      <c r="A23" t="s">
        <v>26</v>
      </c>
      <c r="B23" s="10">
        <v>3436000000</v>
      </c>
    </row>
    <row r="24" spans="1:2" x14ac:dyDescent="0.25">
      <c r="A24" t="s">
        <v>27</v>
      </c>
      <c r="B24" s="9">
        <f>B22/(B22+B23)</f>
        <v>0.7335521566386459</v>
      </c>
    </row>
    <row r="25" spans="1:2" x14ac:dyDescent="0.25">
      <c r="A25" t="s">
        <v>28</v>
      </c>
      <c r="B25" s="9">
        <f>1-B24</f>
        <v>0.2664478433613541</v>
      </c>
    </row>
    <row r="26" spans="1:2" x14ac:dyDescent="0.25">
      <c r="A26" t="s">
        <v>29</v>
      </c>
      <c r="B26" s="11">
        <f>B24*B20+B25*B21*(1-B8)</f>
        <v>0.07560874930885196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13184000000</v>
      </c>
      <c r="C29" s="6" t="s">
        <v>32</v>
      </c>
    </row>
    <row r="30" spans="1:2" x14ac:dyDescent="0.25">
      <c r="A30" t="s">
        <v>33</v>
      </c>
      <c r="B30" s="10">
        <v>3280000000</v>
      </c>
    </row>
    <row r="31" spans="1:2" x14ac:dyDescent="0.25">
      <c r="A31" t="s">
        <v>34</v>
      </c>
      <c r="B31" s="12">
        <v>121717876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0.05165298467839796</v>
      </c>
      <c r="C5" s="5">
        <v>0.03999152195746336</v>
      </c>
      <c r="D5" s="5">
        <v>0.03811758171278044</v>
      </c>
      <c r="E5" s="5">
        <v>0.03624364146809752</v>
      </c>
      <c r="F5" s="5">
        <v>0.0343697012234146</v>
      </c>
      <c r="G5" s="5">
        <v>0.03249576097873168</v>
      </c>
      <c r="H5" s="5">
        <v>0.03062182073404876</v>
      </c>
      <c r="I5" s="5">
        <v>0.028747880489365843</v>
      </c>
      <c r="J5" s="5">
        <v>0.026873940244682922</v>
      </c>
      <c r="K5" s="5">
        <v>0.025</v>
      </c>
    </row>
    <row r="6" spans="1:11" x14ac:dyDescent="0.25">
      <c r="A6" t="s">
        <v>50</v>
      </c>
      <c r="B6" s="18">
        <f>Assumptions!B29*(1+B5)</f>
        <v>13864992949.999998</v>
      </c>
      <c r="C6" s="18">
        <f>B6*(1+C5)</f>
        <v>14419475119.999998</v>
      </c>
      <c r="D6" s="18">
        <f>C6*(1+D5)</f>
        <v>14969110641.142002</v>
      </c>
      <c r="E6" s="18">
        <f>D6*(1+E5)</f>
        <v>15511645720.315836</v>
      </c>
      <c r="F6" s="18">
        <f>E6*(1+F5)</f>
        <v>16044776349.206549</v>
      </c>
      <c r="G6" s="18">
        <f>F6*(1+G5)</f>
        <v>16566163566.407574</v>
      </c>
      <c r="H6" s="18">
        <f>G6*(1+H5)</f>
        <v>17073449657.389036</v>
      </c>
      <c r="I6" s="18">
        <f>H6*(1+I5)</f>
        <v>17564275147.680862</v>
      </c>
      <c r="J6" s="18">
        <f>I6*(1+J5)</f>
        <v>18036296428.440807</v>
      </c>
      <c r="K6" s="18">
        <f>J6*(1+K5)</f>
        <v>18487203839.151825</v>
      </c>
    </row>
    <row r="7" spans="1:11" x14ac:dyDescent="0.25">
      <c r="A7" t="s">
        <v>4</v>
      </c>
      <c r="B7" s="9">
        <f>Assumptions!B7</f>
        <v>0.06023116707665074</v>
      </c>
      <c r="C7" s="9">
        <f>Assumptions!B7</f>
        <v>0.06023116707665074</v>
      </c>
      <c r="D7" s="9">
        <f>Assumptions!B7</f>
        <v>0.06023116707665074</v>
      </c>
      <c r="E7" s="9">
        <f>Assumptions!B7</f>
        <v>0.06023116707665074</v>
      </c>
      <c r="F7" s="9">
        <f>Assumptions!B7</f>
        <v>0.06023116707665074</v>
      </c>
      <c r="G7" s="9">
        <f>Assumptions!B7</f>
        <v>0.06023116707665074</v>
      </c>
      <c r="H7" s="9">
        <f>Assumptions!B7</f>
        <v>0.06023116707665074</v>
      </c>
      <c r="I7" s="9">
        <f>Assumptions!B7</f>
        <v>0.06023116707665074</v>
      </c>
      <c r="J7" s="9">
        <f>Assumptions!B7</f>
        <v>0.06023116707665074</v>
      </c>
      <c r="K7" s="9">
        <f>Assumptions!B7</f>
        <v>0.06023116707665074</v>
      </c>
    </row>
    <row r="8" spans="1:11" x14ac:dyDescent="0.25">
      <c r="A8" t="s">
        <v>51</v>
      </c>
      <c r="B8" s="18">
        <f>B6*B7</f>
        <v>835104706.8880346</v>
      </c>
      <c r="C8" s="18">
        <f>C6*C7</f>
        <v>868501815.1103284</v>
      </c>
      <c r="D8" s="18">
        <f>D6*D7</f>
        <v>901607004.0154945</v>
      </c>
      <c r="E8" s="18">
        <f>E6*E7</f>
        <v>934284525.0141575</v>
      </c>
      <c r="F8" s="18">
        <f>F6*F7</f>
        <v>966395604.996554</v>
      </c>
      <c r="G8" s="18">
        <f>G6*G7</f>
        <v>997799365.5874189</v>
      </c>
      <c r="H8" s="18">
        <f>H6*H7</f>
        <v>1028353798.8889844</v>
      </c>
      <c r="I8" s="18">
        <f>I6*I7</f>
        <v>1057916791.0002304</v>
      </c>
      <c r="J8" s="18">
        <f>J6*J7</f>
        <v>1086347183.6254172</v>
      </c>
      <c r="K8" s="18">
        <f>K6*K7</f>
        <v>1113505863.2160525</v>
      </c>
    </row>
    <row r="9" spans="1:11" x14ac:dyDescent="0.25">
      <c r="A9" t="s">
        <v>52</v>
      </c>
      <c r="B9" s="18">
        <f>B8*(1-Assumptions!B8)</f>
        <v>659732718.4415474</v>
      </c>
      <c r="C9" s="18">
        <f>C8*(1-Assumptions!B8)</f>
        <v>686116433.9371595</v>
      </c>
      <c r="D9" s="18">
        <f>D8*(1-Assumptions!B8)</f>
        <v>712269533.1722406</v>
      </c>
      <c r="E9" s="18">
        <f>E8*(1-Assumptions!B8)</f>
        <v>738084774.7611845</v>
      </c>
      <c r="F9" s="18">
        <f>F8*(1-Assumptions!B8)</f>
        <v>763452527.9472777</v>
      </c>
      <c r="G9" s="18">
        <f>G8*(1-Assumptions!B8)</f>
        <v>788261498.8140609</v>
      </c>
      <c r="H9" s="18">
        <f>H8*(1-Assumptions!B8)</f>
        <v>812399501.1222978</v>
      </c>
      <c r="I9" s="18">
        <f>I8*(1-Assumptions!B8)</f>
        <v>835754264.8901821</v>
      </c>
      <c r="J9" s="18">
        <f>J8*(1-Assumptions!B8)</f>
        <v>858214275.0640796</v>
      </c>
      <c r="K9" s="18">
        <f>K8*(1-Assumptions!B8)</f>
        <v>879669631.9406816</v>
      </c>
    </row>
    <row r="10" spans="1:11" x14ac:dyDescent="0.25">
      <c r="A10" t="s">
        <v>53</v>
      </c>
      <c r="B10" s="18">
        <f>B6*Assumptions!B9</f>
        <v>262715184.273883</v>
      </c>
      <c r="C10" s="18">
        <f>C6*Assumptions!B9</f>
        <v>273221564.33433104</v>
      </c>
      <c r="D10" s="18">
        <f>D6*Assumptions!B9</f>
        <v>283636109.63853854</v>
      </c>
      <c r="E10" s="18">
        <f>E6*Assumptions!B9</f>
        <v>293916115.10368377</v>
      </c>
      <c r="F10" s="18">
        <f>F6*Assumptions!B9</f>
        <v>304017924.1645441</v>
      </c>
      <c r="G10" s="18">
        <f>G6*Assumptions!B9</f>
        <v>313897217.96144533</v>
      </c>
      <c r="H10" s="18">
        <f>H6*Assumptions!B9</f>
        <v>323509322.29877734</v>
      </c>
      <c r="I10" s="18">
        <f>I6*Assumptions!B9</f>
        <v>332809529.6334184</v>
      </c>
      <c r="J10" s="18">
        <f>J6*Assumptions!B9</f>
        <v>341753433.04564786</v>
      </c>
      <c r="K10" s="18">
        <f>K6*Assumptions!B9</f>
        <v>350297268.87178904</v>
      </c>
    </row>
    <row r="11" spans="1:11" x14ac:dyDescent="0.25">
      <c r="A11" t="s">
        <v>54</v>
      </c>
      <c r="B11" s="18">
        <f>-B6*B19</f>
        <v>-188977127.89767042</v>
      </c>
      <c r="C11" s="18">
        <f>-C6*C19</f>
        <v>-208872919.77215725</v>
      </c>
      <c r="D11" s="18">
        <f>-D6*D19</f>
        <v>-229643265.77212217</v>
      </c>
      <c r="E11" s="18">
        <f>-E6*E19</f>
        <v>-251239220.24002287</v>
      </c>
      <c r="F11" s="18">
        <f>-F6*F19</f>
        <v>-273603267.21391755</v>
      </c>
      <c r="G11" s="18">
        <f>-G6*G19</f>
        <v>-296669378.90554816</v>
      </c>
      <c r="H11" s="18">
        <f>-H6*H19</f>
        <v>-320363170.1321427</v>
      </c>
      <c r="I11" s="18">
        <f>-I6*I19</f>
        <v>-344602151.48162836</v>
      </c>
      <c r="J11" s="18">
        <f>-J6*J19</f>
        <v>-369296082.6693455</v>
      </c>
      <c r="K11" s="18">
        <f>-K6*K19</f>
        <v>-394347426.1357051</v>
      </c>
    </row>
    <row r="12" spans="1:11" x14ac:dyDescent="0.25">
      <c r="A12" t="s">
        <v>55</v>
      </c>
      <c r="B12" s="18">
        <f>-(B6-Assumptions!B29)*Assumptions!B11</f>
        <v>-129182773.01818667</v>
      </c>
      <c r="C12" s="18">
        <f>-(C6-B6)*Assumptions!B11</f>
        <v>-105183973.35793534</v>
      </c>
      <c r="D12" s="18">
        <f>-(D6-C6)*Assumptions!B11</f>
        <v>-104264575.38278545</v>
      </c>
      <c r="E12" s="18">
        <f>-(E6-D6)*Assumptions!B11</f>
        <v>-102917638.11551574</v>
      </c>
      <c r="F12" s="18">
        <f>-(F6-E6)*Assumptions!B11</f>
        <v>-101133635.8489941</v>
      </c>
      <c r="G12" s="18">
        <f>-(G6-F6)*Assumptions!B11</f>
        <v>-98905938.06332973</v>
      </c>
      <c r="H12" s="18">
        <f>-(H6-G6)*Assumptions!B11</f>
        <v>-96230987.33480522</v>
      </c>
      <c r="I12" s="18">
        <f>-(I6-H6)*Assumptions!B11</f>
        <v>-93108449.80687296</v>
      </c>
      <c r="J12" s="18">
        <f>-(J6-I6)*Assumptions!B11</f>
        <v>-89541335.15209797</v>
      </c>
      <c r="K12" s="18">
        <f>-(K6-J6)*Assumptions!B11</f>
        <v>-85536083.28852718</v>
      </c>
    </row>
    <row r="13" spans="1:11" x14ac:dyDescent="0.25">
      <c r="A13" s="19" t="s">
        <v>56</v>
      </c>
      <c r="B13" s="20">
        <f>B9+B10+B11+B12</f>
        <v>604288001.7995733</v>
      </c>
      <c r="C13" s="20">
        <f>C9+C10+C11+C12</f>
        <v>645281105.1413981</v>
      </c>
      <c r="D13" s="20">
        <f>D9+D10+D11+D12</f>
        <v>661997801.6558715</v>
      </c>
      <c r="E13" s="20">
        <f>E9+E10+E11+E12</f>
        <v>677844031.5093296</v>
      </c>
      <c r="F13" s="20">
        <f>F9+F10+F11+F12</f>
        <v>692733549.04891</v>
      </c>
      <c r="G13" s="20">
        <f>G9+G10+G11+G12</f>
        <v>706583399.8066285</v>
      </c>
      <c r="H13" s="20">
        <f>H9+H10+H11+H12</f>
        <v>719314665.9541271</v>
      </c>
      <c r="I13" s="20">
        <f>I9+I10+I11+I12</f>
        <v>730853193.2350992</v>
      </c>
      <c r="J13" s="20">
        <f>J9+J10+J11+J12</f>
        <v>741130290.288284</v>
      </c>
      <c r="K13" s="20">
        <f>K9+K10+K11+K12</f>
        <v>750083391.3882384</v>
      </c>
    </row>
    <row r="14" spans="1:11" x14ac:dyDescent="0.25">
      <c r="A14" t="s">
        <v>57</v>
      </c>
      <c r="B14" s="21">
        <f>1/(1+Assumptions!$B$26)^(1-0.5*Assumptions!$B$32)</f>
        <v>0.9642126765604857</v>
      </c>
      <c r="C14" s="21">
        <f>1/(1+Assumptions!$B$26)^(2-0.5*Assumptions!$B$32)</f>
        <v>0.896434393249455</v>
      </c>
      <c r="D14" s="21">
        <f>1/(1+Assumptions!$B$26)^(3-0.5*Assumptions!$B$32)</f>
        <v>0.8334205107809618</v>
      </c>
      <c r="E14" s="21">
        <f>1/(1+Assumptions!$B$26)^(4-0.5*Assumptions!$B$32)</f>
        <v>0.7748361207702041</v>
      </c>
      <c r="F14" s="21">
        <f>1/(1+Assumptions!$B$26)^(5-0.5*Assumptions!$B$32)</f>
        <v>0.7203698568536991</v>
      </c>
      <c r="G14" s="21">
        <f>1/(1+Assumptions!$B$26)^(6-0.5*Assumptions!$B$32)</f>
        <v>0.6697322398284536</v>
      </c>
      <c r="H14" s="21">
        <f>1/(1+Assumptions!$B$26)^(7-0.5*Assumptions!$B$32)</f>
        <v>0.6226541391177786</v>
      </c>
      <c r="I14" s="21">
        <f>1/(1+Assumptions!$B$26)^(8-0.5*Assumptions!$B$32)</f>
        <v>0.578885342386694</v>
      </c>
      <c r="J14" s="21">
        <f>1/(1+Assumptions!$B$26)^(9-0.5*Assumptions!$B$32)</f>
        <v>0.5381932257046674</v>
      </c>
      <c r="K14" s="21">
        <f>1/(1+Assumptions!$B$26)^(10-0.5*Assumptions!$B$32)</f>
        <v>0.500361517187817</v>
      </c>
    </row>
    <row r="15" spans="1:11" x14ac:dyDescent="0.25">
      <c r="A15" s="19" t="s">
        <v>58</v>
      </c>
      <c r="B15" s="20">
        <f>B13*B14</f>
        <v>582662151.6285542</v>
      </c>
      <c r="C15" s="20">
        <f>C13*C14</f>
        <v>578452175.9627669</v>
      </c>
      <c r="D15" s="20">
        <f>D13*D14</f>
        <v>551722545.9919102</v>
      </c>
      <c r="E15" s="20">
        <f>E13*E14</f>
        <v>525218039.86192495</v>
      </c>
      <c r="F15" s="20">
        <f>F13*F14</f>
        <v>499024367.5661183</v>
      </c>
      <c r="G15" s="20">
        <f>G13*G14</f>
        <v>473221682.978097</v>
      </c>
      <c r="H15" s="20">
        <f>H13*H14</f>
        <v>447884254.0844594</v>
      </c>
      <c r="I15" s="20">
        <f>I13*I14</f>
        <v>423080201.000309</v>
      </c>
      <c r="J15" s="20">
        <f>J13*J14</f>
        <v>398871301.5976881</v>
      </c>
      <c r="K15" s="20">
        <f>K13*K14</f>
        <v>375312863.7324021</v>
      </c>
    </row>
    <row r="17" spans="1:2" x14ac:dyDescent="0.25">
      <c r="A17" s="22" t="s">
        <v>59</v>
      </c>
      <c r="B17" s="23">
        <f>SUM(B15:K15)</f>
        <v>4855449584.404229</v>
      </c>
    </row>
    <row r="19" spans="1:11" x14ac:dyDescent="0.25">
      <c r="A19" t="s">
        <v>7</v>
      </c>
      <c r="B19" s="9">
        <f>Assumptions!$B$10+($B$20-Assumptions!$B$10)*0/9</f>
        <v>0.013629803388949466</v>
      </c>
      <c r="C19" s="9">
        <f>Assumptions!$B$10+($B$20-Assumptions!$B$10)*1/9</f>
        <v>0.014485473155846555</v>
      </c>
      <c r="D19" s="9">
        <f>Assumptions!$B$10+($B$20-Assumptions!$B$10)*2/9</f>
        <v>0.015341142922743642</v>
      </c>
      <c r="E19" s="9">
        <f>Assumptions!$B$10+($B$20-Assumptions!$B$10)*3/9</f>
        <v>0.01619681268964073</v>
      </c>
      <c r="F19" s="9">
        <f>Assumptions!$B$10+($B$20-Assumptions!$B$10)*4/9</f>
        <v>0.01705248245653782</v>
      </c>
      <c r="G19" s="9">
        <f>Assumptions!$B$10+($B$20-Assumptions!$B$10)*5/9</f>
        <v>0.01790815222343491</v>
      </c>
      <c r="H19" s="9">
        <f>Assumptions!$B$10+($B$20-Assumptions!$B$10)*6/9</f>
        <v>0.018763821990331997</v>
      </c>
      <c r="I19" s="9">
        <f>Assumptions!$B$10+($B$20-Assumptions!$B$10)*7/9</f>
        <v>0.019619491757229084</v>
      </c>
      <c r="J19" s="9">
        <f>Assumptions!$B$10+($B$20-Assumptions!$B$10)*8/9</f>
        <v>0.02047516152412617</v>
      </c>
      <c r="K19" s="9">
        <f>Assumptions!$B$10+($B$20-Assumptions!$B$10)*9/9</f>
        <v>0.021330831291023263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0.021330831291023263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750083391.3882384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1064174601.3655264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0.26086015501250376</v>
      </c>
    </row>
    <row r="7" spans="1:2" x14ac:dyDescent="0.25">
      <c r="A7" t="s">
        <v>66</v>
      </c>
      <c r="B7" s="18">
        <f>-MAX(B5,0)*B6</f>
        <v>-277600751.4725806</v>
      </c>
    </row>
    <row r="8" spans="1:2" x14ac:dyDescent="0.25">
      <c r="A8" t="s">
        <v>67</v>
      </c>
      <c r="B8" s="18">
        <f>IF(OR(Assumptions!$B$33=0,Assumptions!B12&lt;=0),B5,MAX(B5+B7,0))</f>
        <v>786573849.8929458</v>
      </c>
    </row>
    <row r="9" spans="1:2" x14ac:dyDescent="0.25">
      <c r="A9" t="s">
        <v>68</v>
      </c>
      <c r="B9" s="18">
        <f>B8*(1+Assumptions!B12)/(Assumptions!B26-Assumptions!B12)</f>
        <v>15930806572.990149</v>
      </c>
    </row>
    <row r="10" spans="1:2" x14ac:dyDescent="0.25">
      <c r="A10" t="s">
        <v>69</v>
      </c>
      <c r="B10" s="18">
        <f>B9/(1+Assumptions!B26)^(10-0.5*Assumptions!B32)</f>
        <v>7971162546.886997</v>
      </c>
    </row>
    <row r="11" spans="1:2" x14ac:dyDescent="0.25">
      <c r="A11" t="s">
        <v>70</v>
      </c>
      <c r="B11" s="18">
        <f>Forecast!B17+B10</f>
        <v>12826612131.291225</v>
      </c>
    </row>
    <row r="12" spans="1:2" x14ac:dyDescent="0.25">
      <c r="A12" t="s">
        <v>71</v>
      </c>
      <c r="B12" s="18">
        <f>-Assumptions!B30</f>
        <v>-3280000000</v>
      </c>
    </row>
    <row r="13" spans="1:2" x14ac:dyDescent="0.25">
      <c r="A13" t="s">
        <v>72</v>
      </c>
      <c r="B13" s="18">
        <f>B11+B12</f>
        <v>9546612131.291225</v>
      </c>
    </row>
    <row r="14" spans="1:2" x14ac:dyDescent="0.25">
      <c r="A14" s="19" t="s">
        <v>73</v>
      </c>
      <c r="B14" s="24">
        <f>B13/Assumptions!B31</f>
        <v>78.43229314395221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1463803132.0878415</v>
      </c>
    </row>
    <row r="18" spans="1:2" x14ac:dyDescent="0.25">
      <c r="A18" t="s">
        <v>68</v>
      </c>
      <c r="B18" s="18">
        <f>B17*Assumptions!B13</f>
        <v>17948257904.549892</v>
      </c>
    </row>
    <row r="19" spans="1:2" x14ac:dyDescent="0.25">
      <c r="A19" t="s">
        <v>69</v>
      </c>
      <c r="B19" s="18">
        <f>B18/(1+Assumptions!B26)^(10-0.5*Assumptions!B32)</f>
        <v>8980617555.998812</v>
      </c>
    </row>
    <row r="20" spans="1:2" x14ac:dyDescent="0.25">
      <c r="A20" t="s">
        <v>70</v>
      </c>
      <c r="B20" s="18">
        <f>Forecast!B17+B19</f>
        <v>13836067140.403042</v>
      </c>
    </row>
    <row r="21" spans="1:2" x14ac:dyDescent="0.25">
      <c r="A21" t="s">
        <v>71</v>
      </c>
      <c r="B21" s="18">
        <f>-Assumptions!B30</f>
        <v>-3280000000</v>
      </c>
    </row>
    <row r="22" spans="1:2" x14ac:dyDescent="0.25">
      <c r="A22" t="s">
        <v>72</v>
      </c>
      <c r="B22" s="18">
        <f>B20+B21</f>
        <v>10556067140.403042</v>
      </c>
    </row>
    <row r="23" spans="1:2" x14ac:dyDescent="0.25">
      <c r="A23" s="19" t="s">
        <v>73</v>
      </c>
      <c r="B23" s="25">
        <f>B22/Assumptions!B31</f>
        <v>86.72569294918556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84.88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78.43229314395221</v>
      </c>
    </row>
    <row r="29" spans="1:2" x14ac:dyDescent="0.25">
      <c r="A29" s="19" t="s">
        <v>81</v>
      </c>
      <c r="B29" s="11">
        <f>B28/B26-1</f>
        <v>-0.07596261611743393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0.055609</v>
      </c>
      <c r="B5" s="31">
        <v>129.75043728652838</v>
      </c>
      <c r="C5" s="31">
        <v>136.56890634688085</v>
      </c>
      <c r="D5" s="31">
        <v>146.00444345919223</v>
      </c>
      <c r="E5" s="31">
        <v>159.58994802521133</v>
      </c>
      <c r="F5" s="31">
        <v>180.34592136987453</v>
      </c>
    </row>
    <row r="6" spans="1:6" x14ac:dyDescent="0.25">
      <c r="A6" s="30">
        <v>0.065609</v>
      </c>
      <c r="B6" s="31">
        <v>98.3256632990929</v>
      </c>
      <c r="C6" s="31">
        <v>100.68022442952187</v>
      </c>
      <c r="D6" s="31">
        <v>103.89186305190499</v>
      </c>
      <c r="E6" s="31">
        <v>108.32161604959525</v>
      </c>
      <c r="F6" s="31">
        <v>114.56642274206087</v>
      </c>
    </row>
    <row r="7" spans="1:6" x14ac:dyDescent="0.25">
      <c r="A7" s="30">
        <v>0.075609</v>
      </c>
      <c r="B7" s="31">
        <v>77.32278142541533</v>
      </c>
      <c r="C7" s="31">
        <v>77.73172124203214</v>
      </c>
      <c r="D7" s="32">
        <v>78.43178111011751</v>
      </c>
      <c r="E7" s="31">
        <v>79.51870530759967</v>
      </c>
      <c r="F7" s="31">
        <v>81.13539232843199</v>
      </c>
    </row>
    <row r="8" spans="1:6" x14ac:dyDescent="0.25">
      <c r="A8" s="30">
        <v>0.085609</v>
      </c>
      <c r="B8" s="31">
        <v>62.30983011563551</v>
      </c>
      <c r="C8" s="31">
        <v>61.80374761154972</v>
      </c>
      <c r="D8" s="31">
        <v>61.38032470592578</v>
      </c>
      <c r="E8" s="31">
        <v>61.061858040978635</v>
      </c>
      <c r="F8" s="31">
        <v>60.87945559375095</v>
      </c>
    </row>
    <row r="9" spans="1:6" x14ac:dyDescent="0.25">
      <c r="A9" s="30">
        <v>0.095609</v>
      </c>
      <c r="B9" s="31">
        <v>51.05442904637922</v>
      </c>
      <c r="C9" s="31">
        <v>50.10861671233558</v>
      </c>
      <c r="D9" s="31">
        <v>49.163915449962445</v>
      </c>
      <c r="E9" s="31">
        <v>48.22057928043163</v>
      </c>
      <c r="F9" s="31">
        <v>47.278946047836115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13184000000</v>
      </c>
      <c r="C5" s="18">
        <v>12673000000</v>
      </c>
      <c r="D5" s="18">
        <v>12339000000</v>
      </c>
      <c r="E5" s="18">
        <v>12647000000</v>
      </c>
      <c r="F5" s="6" t="s">
        <v>91</v>
      </c>
    </row>
    <row r="6" spans="1:6" x14ac:dyDescent="0.25">
      <c r="A6" t="s">
        <v>51</v>
      </c>
      <c r="B6" s="18">
        <v>758000000</v>
      </c>
      <c r="C6" s="18">
        <v>731000000</v>
      </c>
      <c r="D6" s="18">
        <v>695000000</v>
      </c>
      <c r="E6" s="18">
        <v>878000000</v>
      </c>
      <c r="F6" s="6" t="s">
        <v>92</v>
      </c>
    </row>
    <row r="7" spans="1:6" x14ac:dyDescent="0.25">
      <c r="A7" t="s">
        <v>93</v>
      </c>
      <c r="B7" s="18">
        <v>281000000</v>
      </c>
      <c r="C7" s="18">
        <v>268000000</v>
      </c>
      <c r="D7" s="18">
        <v>222000000</v>
      </c>
      <c r="E7" s="18">
        <v>194000000</v>
      </c>
      <c r="F7" s="6" t="s">
        <v>94</v>
      </c>
    </row>
    <row r="8" spans="1:6" x14ac:dyDescent="0.25">
      <c r="A8" t="s">
        <v>95</v>
      </c>
      <c r="B8" s="18">
        <v>191000000</v>
      </c>
      <c r="C8" s="18">
        <v>187000000</v>
      </c>
      <c r="D8" s="18">
        <v>187000000</v>
      </c>
      <c r="E8" s="18">
        <v>128000000</v>
      </c>
      <c r="F8" s="6" t="s">
        <v>96</v>
      </c>
    </row>
    <row r="9" spans="1:6" x14ac:dyDescent="0.25">
      <c r="A9" t="s">
        <v>97</v>
      </c>
      <c r="B9" s="18">
        <v>48000000</v>
      </c>
      <c r="C9" s="18">
        <v>-140000000</v>
      </c>
      <c r="D9" s="18">
        <v>290000000</v>
      </c>
      <c r="E9" s="18">
        <v>281000000</v>
      </c>
      <c r="F9" s="6" t="s">
        <v>98</v>
      </c>
    </row>
    <row r="10" spans="1:6" x14ac:dyDescent="0.25">
      <c r="A10" t="s">
        <v>99</v>
      </c>
      <c r="B10" s="18">
        <v>3436000000</v>
      </c>
      <c r="C10" s="18">
        <v>2870000000</v>
      </c>
      <c r="D10" s="18">
        <v>2741000000</v>
      </c>
      <c r="E10" s="18">
        <v>1497000000</v>
      </c>
      <c r="F10" s="6" t="s">
        <v>100</v>
      </c>
    </row>
    <row r="11" spans="1:6" x14ac:dyDescent="0.25">
      <c r="A11" t="s">
        <v>101</v>
      </c>
      <c r="B11" s="18">
        <v>156000000</v>
      </c>
      <c r="C11" s="18">
        <v>122000000</v>
      </c>
      <c r="D11" s="18">
        <v>171000000</v>
      </c>
      <c r="E11" s="18">
        <v>117000000</v>
      </c>
      <c r="F11" s="6" t="s">
        <v>102</v>
      </c>
    </row>
    <row r="12" spans="1:6" x14ac:dyDescent="0.25">
      <c r="A12" t="s">
        <v>34</v>
      </c>
      <c r="B12" s="34">
        <v>121717876</v>
      </c>
      <c r="C12" s="34">
        <v>127779228</v>
      </c>
      <c r="D12" s="34">
        <v>131748171</v>
      </c>
      <c r="E12" s="34">
        <v>137755670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