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<sst xmlns="http://schemas.openxmlformats.org/spreadsheetml/2006/main" count="111" uniqueCount="99">
  <si>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Henry Schein, Inc. (HSIC)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</si>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</sst>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0.013957826846691779</v>
      </c>
    </row>
    <row r="7" spans="1:2" x14ac:dyDescent="0.25">
      <c r="A7" t="s">
        <v>5</v>
      </c>
      <c r="B7" s="6">
        <v>0.06023116707665074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0.018948093606775546</v>
      </c>
    </row>
    <row r="10" spans="1:2" x14ac:dyDescent="0.25">
      <c r="A10" t="s">
        <v>8</v>
      </c>
      <c r="B10" s="6">
        <v>0.013629803388949466</v>
      </c>
    </row>
    <row r="11" spans="1:2" x14ac:dyDescent="0.25">
      <c r="A11" t="s">
        <v>9</v>
      </c>
      <c r="B11" s="6">
        <v>-0.41916167664670656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12.257097670837343</v>
      </c>
    </row>
    <row r="14" spans="1:3" x14ac:dyDescent="0.25">
      <c r="A14" t="s">
        <v>12</v>
      </c>
      <c r="B14" s="6">
        <v>0.09583679040136153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0.87404</v>
      </c>
      <c r="C19" s="8" t="s">
        <v>19</v>
      </c>
    </row>
    <row r="20" spans="1:2" x14ac:dyDescent="0.25">
      <c r="A20" t="s">
        <v>20</v>
      </c>
      <c r="B20" s="10">
        <f>B17+B19*B18</f>
        <v>0.0980522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9455124480</v>
      </c>
    </row>
    <row r="23" spans="1:2" x14ac:dyDescent="0.25">
      <c r="A23" t="s">
        <v>24</v>
      </c>
      <c r="B23" s="11">
        <v>3436000000</v>
      </c>
    </row>
    <row r="24" spans="1:2" x14ac:dyDescent="0.25">
      <c r="A24" t="s">
        <v>25</v>
      </c>
      <c r="B24" s="10">
        <f>B22/(B22+B23)</f>
        <v>0.7334600247378885</v>
      </c>
    </row>
    <row r="25" spans="1:2" x14ac:dyDescent="0.25">
      <c r="A25" t="s">
        <v>26</v>
      </c>
      <c r="B25" s="10">
        <f>1-B24</f>
        <v>0.2665399752621115</v>
      </c>
    </row>
    <row r="26" spans="1:2" x14ac:dyDescent="0.25">
      <c r="A26" t="s">
        <v>27</v>
      </c>
      <c r="B26" s="12">
        <f>B24*B20+B25*B21*(1-B8)</f>
        <v>0.08244148672884866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13184000000</v>
      </c>
      <c r="C29" s="8" t="s">
        <v>30</v>
      </c>
    </row>
    <row r="30" spans="1:2" x14ac:dyDescent="0.25">
      <c r="A30" t="s">
        <v>31</v>
      </c>
      <c r="B30" s="11">
        <v>3280000000</v>
      </c>
    </row>
    <row r="31" spans="1:2" x14ac:dyDescent="0.25">
      <c r="A31" t="s">
        <v>32</v>
      </c>
      <c r="B31" s="13">
        <v>121717876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0.013957826846691779</v>
      </c>
      <c r="C5" s="10">
        <f>Assumptions!B6</f>
        <v>0.013957826846691779</v>
      </c>
      <c r="D5" s="10">
        <f>Assumptions!B6</f>
        <v>0.013957826846691779</v>
      </c>
      <c r="E5" s="10">
        <f>Assumptions!B6</f>
        <v>0.013957826846691779</v>
      </c>
      <c r="F5" s="10">
        <f>Assumptions!B6</f>
        <v>0.013957826846691779</v>
      </c>
    </row>
    <row r="6" spans="1:6" x14ac:dyDescent="0.25">
      <c r="A6" t="s">
        <v>43</v>
      </c>
      <c r="B6" s="18">
        <f>Assumptions!B29*(1+B5)</f>
        <v>13368019989.146784</v>
      </c>
      <c r="C6" s="18">
        <f>B6*(1+C5)</f>
        <v>13554608497.43841</v>
      </c>
      <c r="D6" s="18">
        <f>C6*(1+D5)</f>
        <v>13743801375.820353</v>
      </c>
      <c r="E6" s="18">
        <f>D6*(1+E5)</f>
        <v>13935634975.639378</v>
      </c>
      <c r="F6" s="18">
        <f>E6*(1+F5)</f>
        <v>14130146155.628054</v>
      </c>
    </row>
    <row r="7" spans="1:6" x14ac:dyDescent="0.25">
      <c r="A7" t="s">
        <v>5</v>
      </c>
      <c r="B7" s="10">
        <f>Assumptions!B7</f>
        <v>0.06023116707665074</v>
      </c>
      <c r="C7" s="10">
        <f>Assumptions!B7</f>
        <v>0.06023116707665074</v>
      </c>
      <c r="D7" s="10">
        <f>Assumptions!B7</f>
        <v>0.06023116707665074</v>
      </c>
      <c r="E7" s="10">
        <f>Assumptions!B7</f>
        <v>0.06023116707665074</v>
      </c>
      <c r="F7" s="10">
        <f>Assumptions!B7</f>
        <v>0.06023116707665074</v>
      </c>
    </row>
    <row r="8" spans="1:6" x14ac:dyDescent="0.25">
      <c r="A8" t="s">
        <v>44</v>
      </c>
      <c r="B8" s="18">
        <f>B6*B7</f>
        <v>805171445.4503068</v>
      </c>
      <c r="C8" s="18">
        <f>C6*C7</f>
        <v>816409889.0678028</v>
      </c>
      <c r="D8" s="18">
        <f>D6*D7</f>
        <v>827805196.935338</v>
      </c>
      <c r="E8" s="18">
        <f>E6*E7</f>
        <v>839359558.5369531</v>
      </c>
      <c r="F8" s="18">
        <f>F6*F7</f>
        <v>851075193.9171275</v>
      </c>
    </row>
    <row r="9" spans="1:6" x14ac:dyDescent="0.25">
      <c r="A9" t="s">
        <v>45</v>
      </c>
      <c r="B9" s="18">
        <f>B8*(1-Assumptions!B8)</f>
        <v>636085441.9057424</v>
      </c>
      <c r="C9" s="18">
        <f>C8*(1-Assumptions!B8)</f>
        <v>644963812.3635643</v>
      </c>
      <c r="D9" s="18">
        <f>D8*(1-Assumptions!B8)</f>
        <v>653966105.578917</v>
      </c>
      <c r="E9" s="18">
        <f>E8*(1-Assumptions!B8)</f>
        <v>663094051.244193</v>
      </c>
      <c r="F9" s="18">
        <f>F8*(1-Assumptions!B8)</f>
        <v>672349403.1945307</v>
      </c>
    </row>
    <row r="10" spans="1:6" x14ac:dyDescent="0.25">
      <c r="A10" t="s">
        <v>46</v>
      </c>
      <c r="B10" s="18">
        <f>B6*Assumptions!B9</f>
        <v>253298494.09159988</v>
      </c>
      <c r="C10" s="18">
        <f>C6*Assumptions!B9</f>
        <v>256833990.61265823</v>
      </c>
      <c r="D10" s="18">
        <f>D6*Assumptions!B9</f>
        <v>260418834.98197457</v>
      </c>
      <c r="E10" s="18">
        <f>E6*Assumptions!B9</f>
        <v>264053715.98827016</v>
      </c>
      <c r="F10" s="18">
        <f>F6*Assumptions!B9</f>
        <v>267739332.03425997</v>
      </c>
    </row>
    <row r="11" spans="1:6" x14ac:dyDescent="0.25">
      <c r="A11" t="s">
        <v>47</v>
      </c>
      <c r="B11" s="18">
        <f>-B6*Assumptions!B10</f>
        <v>-182203484.15161702</v>
      </c>
      <c r="C11" s="18">
        <f>-C6*Assumptions!B10</f>
        <v>-184746648.83426926</v>
      </c>
      <c r="D11" s="18">
        <f>-D6*Assumptions!B10</f>
        <v>-187325310.56920457</v>
      </c>
      <c r="E11" s="18">
        <f>-E6*Assumptions!B10</f>
        <v>-189939964.81813228</v>
      </c>
      <c r="F11" s="18">
        <f>-F6*Assumptions!B10</f>
        <v>-192591113.9583305</v>
      </c>
    </row>
    <row r="12" spans="1:6" x14ac:dyDescent="0.25">
      <c r="A12" t="s">
        <v>48</v>
      </c>
      <c r="B12" s="18">
        <f>-(B6-Assumptions!B29)*Assumptions!B11</f>
        <v>77134127.18727465</v>
      </c>
      <c r="C12" s="18">
        <f>-(C6-B6)*Assumptions!B11</f>
        <v>78210751.97852585</v>
      </c>
      <c r="D12" s="18">
        <f>-(D6-C6)*Assumptions!B11</f>
        <v>79302404.11219157</v>
      </c>
      <c r="E12" s="18">
        <f>-(E6-D6)*Assumptions!B11</f>
        <v>80409293.33731589</v>
      </c>
      <c r="F12" s="18">
        <f>-(F6-E6)*Assumptions!B11</f>
        <v>81531632.33058278</v>
      </c>
    </row>
    <row r="13" spans="1:6" x14ac:dyDescent="0.25">
      <c r="A13" s="19" t="s">
        <v>49</v>
      </c>
      <c r="B13" s="20">
        <f>B9+B10+B11+B12</f>
        <v>784314579.033</v>
      </c>
      <c r="C13" s="20">
        <f>C9+C10+C11+C12</f>
        <v>795261906.1204791</v>
      </c>
      <c r="D13" s="20">
        <f>D9+D10+D11+D12</f>
        <v>806362034.1038786</v>
      </c>
      <c r="E13" s="20">
        <f>E9+E10+E11+E12</f>
        <v>817617095.7516468</v>
      </c>
      <c r="F13" s="20">
        <f>F9+F10+F11+F12</f>
        <v>829029253.601043</v>
      </c>
    </row>
    <row r="14" spans="1:6" x14ac:dyDescent="0.25">
      <c r="A14" t="s">
        <v>50</v>
      </c>
      <c r="B14" s="21">
        <f>1/(1+Assumptions!$B$26)^(1-0.5*Assumptions!$B$32)</f>
        <v>0.9611646403305919</v>
      </c>
      <c r="C14" s="21">
        <f>1/(1+Assumptions!$B$26)^(2-0.5*Assumptions!$B$32)</f>
        <v>0.8879599055605705</v>
      </c>
      <c r="D14" s="21">
        <f>1/(1+Assumptions!$B$26)^(3-0.5*Assumptions!$B$32)</f>
        <v>0.8203306289044743</v>
      </c>
      <c r="E14" s="21">
        <f>1/(1+Assumptions!$B$26)^(4-0.5*Assumptions!$B$32)</f>
        <v>0.7578521693431425</v>
      </c>
      <c r="F14" s="21">
        <f>1/(1+Assumptions!$B$26)^(5-0.5*Assumptions!$B$32)</f>
        <v>0.7001322275935496</v>
      </c>
    </row>
    <row r="15" spans="1:6" x14ac:dyDescent="0.25">
      <c r="A15" s="19" t="s">
        <v>51</v>
      </c>
      <c r="B15" s="20">
        <f>B13*B14</f>
        <v>753855440.262293</v>
      </c>
      <c r="C15" s="20">
        <f>C13*C14</f>
        <v>706160687.0546598</v>
      </c>
      <c r="D15" s="20">
        <f>D13*D14</f>
        <v>661483474.5611259</v>
      </c>
      <c r="E15" s="20">
        <f>E13*E14</f>
        <v>619632889.7074254</v>
      </c>
      <c r="F15" s="20">
        <f>F13*F14</f>
        <v>580430098.063916</v>
      </c>
    </row>
    <row r="17" spans="1:2" x14ac:dyDescent="0.25">
      <c r="A17" s="22" t="s">
        <v>52</v>
      </c>
      <c r="B17" s="23">
        <f>SUM(B15:F15)</f>
        <v>3321562589.64942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829029253.601043</v>
      </c>
    </row>
    <row r="5" spans="1:2" x14ac:dyDescent="0.25">
      <c r="A5" t="s">
        <v>56</v>
      </c>
      <c r="B5" s="18">
        <f>IF(Assumptions!$B$33=0,B4,B4-Forecast!F11-Forecast!F10-Forecast!F12)</f>
        <v>813370306.4688009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0.26086015501250376</v>
      </c>
    </row>
    <row r="7" spans="1:2" x14ac:dyDescent="0.25">
      <c r="A7" t="s">
        <v>58</v>
      </c>
      <c r="B7" s="18">
        <f>-MAX(Forecast!F9,0)*B6</f>
        <v>-212175904.2280191</v>
      </c>
    </row>
    <row r="8" spans="1:2" x14ac:dyDescent="0.25">
      <c r="A8" t="s">
        <v>59</v>
      </c>
      <c r="B8" s="18">
        <f>IF(OR(Assumptions!$B$33=0,Assumptions!B12&lt;=0),B5,MAX(B5+B7,0))</f>
        <v>601194402.2407818</v>
      </c>
    </row>
    <row r="9" spans="1:2" x14ac:dyDescent="0.25">
      <c r="A9" t="s">
        <v>60</v>
      </c>
      <c r="B9" s="18">
        <f>B8*(1+Assumptions!B12)/(Assumptions!B26-Assumptions!B12)</f>
        <v>10727860600.225672</v>
      </c>
    </row>
    <row r="10" spans="1:2" x14ac:dyDescent="0.25">
      <c r="A10" t="s">
        <v>61</v>
      </c>
      <c r="B10" s="18">
        <f>B9/(1+Assumptions!B26)^(5-0.5*Assumptions!B32)</f>
        <v>7510920939.349074</v>
      </c>
    </row>
    <row r="11" spans="1:2" x14ac:dyDescent="0.25">
      <c r="A11" t="s">
        <v>62</v>
      </c>
      <c r="B11" s="18">
        <f>Forecast!B17+B10</f>
        <v>10832483528.998493</v>
      </c>
    </row>
    <row r="12" spans="1:2" x14ac:dyDescent="0.25">
      <c r="A12" t="s">
        <v>63</v>
      </c>
      <c r="B12" s="18">
        <f>-Assumptions!B30</f>
        <v>-3280000000</v>
      </c>
    </row>
    <row r="13" spans="1:2" x14ac:dyDescent="0.25">
      <c r="A13" t="s">
        <v>64</v>
      </c>
      <c r="B13" s="18">
        <f>B11+B12</f>
        <v>7552483528.998493</v>
      </c>
    </row>
    <row r="14" spans="1:2" x14ac:dyDescent="0.25">
      <c r="A14" s="19" t="s">
        <v>65</v>
      </c>
      <c r="B14" s="24">
        <f>B13/Assumptions!B31</f>
        <v>62.049090710377605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1118814525.9513874</v>
      </c>
    </row>
    <row r="18" spans="1:2" x14ac:dyDescent="0.25">
      <c r="A18" t="s">
        <v>60</v>
      </c>
      <c r="B18" s="18">
        <f>B17*Assumptions!B13</f>
        <v>13713418920.137737</v>
      </c>
    </row>
    <row r="19" spans="1:2" x14ac:dyDescent="0.25">
      <c r="A19" t="s">
        <v>61</v>
      </c>
      <c r="B19" s="18">
        <f>B18/(1+Assumptions!B26)^(5-0.5*Assumptions!B32)</f>
        <v>9601206536.479565</v>
      </c>
    </row>
    <row r="20" spans="1:2" x14ac:dyDescent="0.25">
      <c r="A20" t="s">
        <v>62</v>
      </c>
      <c r="B20" s="18">
        <f>Forecast!B17+B19</f>
        <v>12922769126.128984</v>
      </c>
    </row>
    <row r="21" spans="1:2" x14ac:dyDescent="0.25">
      <c r="A21" t="s">
        <v>63</v>
      </c>
      <c r="B21" s="18">
        <f>-Assumptions!B30</f>
        <v>-3280000000</v>
      </c>
    </row>
    <row r="22" spans="1:2" x14ac:dyDescent="0.25">
      <c r="A22" t="s">
        <v>64</v>
      </c>
      <c r="B22" s="18">
        <f>B20+B21</f>
        <v>9642769126.128984</v>
      </c>
    </row>
    <row r="23" spans="1:2" x14ac:dyDescent="0.25">
      <c r="A23" s="19" t="s">
        <v>65</v>
      </c>
      <c r="B23" s="25">
        <f>B22/Assumptions!B31</f>
        <v>79.2222920988942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84.84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62.049090710377605</v>
      </c>
    </row>
    <row r="29" spans="1:2" x14ac:dyDescent="0.25">
      <c r="A29" s="19" t="s">
        <v>73</v>
      </c>
      <c r="B29" s="12">
        <f>B28/B26-1</f>
        <v>-0.2686340085999811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0.062441</v>
      </c>
      <c r="B5" s="31">
        <v>93.40729028807564</v>
      </c>
      <c r="C5" s="31">
        <v>98.3507172486338</v>
      </c>
      <c r="D5" s="31">
        <v>104.54356767768711</v>
      </c>
      <c r="E5" s="31">
        <v>112.56354731881389</v>
      </c>
      <c r="F5" s="31">
        <v>123.40941489731952</v>
      </c>
    </row>
    <row r="6" spans="1:6" x14ac:dyDescent="0.25">
      <c r="A6" s="30">
        <v>0.072441</v>
      </c>
      <c r="B6" s="31">
        <v>73.65738899921827</v>
      </c>
      <c r="C6" s="31">
        <v>76.03176253930108</v>
      </c>
      <c r="D6" s="31">
        <v>78.85297983285365</v>
      </c>
      <c r="E6" s="31">
        <v>82.27896968226159</v>
      </c>
      <c r="F6" s="31">
        <v>86.55202231315529</v>
      </c>
    </row>
    <row r="7" spans="1:6" x14ac:dyDescent="0.25">
      <c r="A7" s="30">
        <v>0.082441</v>
      </c>
      <c r="B7" s="31">
        <v>59.73428722058195</v>
      </c>
      <c r="C7" s="31">
        <v>60.81886641952072</v>
      </c>
      <c r="D7" s="32">
        <v>62.04976753279349</v>
      </c>
      <c r="E7" s="31">
        <v>63.46884385677162</v>
      </c>
      <c r="F7" s="31">
        <v>65.13559304455224</v>
      </c>
    </row>
    <row r="8" spans="1:6" x14ac:dyDescent="0.25">
      <c r="A8" s="30">
        <v>0.092441</v>
      </c>
      <c r="B8" s="31">
        <v>49.382181695262304</v>
      </c>
      <c r="C8" s="31">
        <v>49.771247272957545</v>
      </c>
      <c r="D8" s="31">
        <v>50.18327646311759</v>
      </c>
      <c r="E8" s="31">
        <v>50.623785740286046</v>
      </c>
      <c r="F8" s="31">
        <v>51.10021232361162</v>
      </c>
    </row>
    <row r="9" spans="1:6" x14ac:dyDescent="0.25">
      <c r="A9" s="30">
        <v>0.102441</v>
      </c>
      <c r="B9" s="31">
        <v>41.881756200143585</v>
      </c>
      <c r="C9" s="31">
        <v>42.09205221357162</v>
      </c>
      <c r="D9" s="31">
        <v>42.30234822699964</v>
      </c>
      <c r="E9" s="31">
        <v>42.512644240427655</v>
      </c>
      <c r="F9" s="31">
        <v>42.72294025385569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13184000000</v>
      </c>
      <c r="C5" s="18">
        <v>12673000000</v>
      </c>
      <c r="D5" s="18">
        <v>12339000000</v>
      </c>
      <c r="E5" s="18">
        <v>12647000000</v>
      </c>
      <c r="F5" s="8" t="s">
        <v>84</v>
      </c>
    </row>
    <row r="6" spans="1:6" x14ac:dyDescent="0.25">
      <c r="A6" t="s">
        <v>44</v>
      </c>
      <c r="B6" s="18">
        <v>758000000</v>
      </c>
      <c r="C6" s="18">
        <v>731000000</v>
      </c>
      <c r="D6" s="18">
        <v>695000000</v>
      </c>
      <c r="E6" s="18">
        <v>878000000</v>
      </c>
      <c r="F6" s="8" t="s">
        <v>85</v>
      </c>
    </row>
    <row r="7" spans="1:6" x14ac:dyDescent="0.25">
      <c r="A7" t="s">
        <v>86</v>
      </c>
      <c r="B7" s="18">
        <v>281000000</v>
      </c>
      <c r="C7" s="18">
        <v>268000000</v>
      </c>
      <c r="D7" s="18">
        <v>222000000</v>
      </c>
      <c r="E7" s="18">
        <v>194000000</v>
      </c>
      <c r="F7" s="8" t="s">
        <v>87</v>
      </c>
    </row>
    <row r="8" spans="1:6" x14ac:dyDescent="0.25">
      <c r="A8" t="s">
        <v>88</v>
      </c>
      <c r="B8" s="18">
        <v>191000000</v>
      </c>
      <c r="C8" s="18">
        <v>187000000</v>
      </c>
      <c r="D8" s="18">
        <v>187000000</v>
      </c>
      <c r="E8" s="18">
        <v>128000000</v>
      </c>
      <c r="F8" s="8" t="s">
        <v>89</v>
      </c>
    </row>
    <row r="9" spans="1:6" x14ac:dyDescent="0.25">
      <c r="A9" t="s">
        <v>90</v>
      </c>
      <c r="B9" s="18">
        <v>48000000</v>
      </c>
      <c r="C9" s="18">
        <v>-140000000</v>
      </c>
      <c r="D9" s="18">
        <v>290000000</v>
      </c>
      <c r="E9" s="18">
        <v>281000000</v>
      </c>
      <c r="F9" s="8" t="s">
        <v>91</v>
      </c>
    </row>
    <row r="10" spans="1:6" x14ac:dyDescent="0.25">
      <c r="A10" t="s">
        <v>92</v>
      </c>
      <c r="B10" s="18">
        <v>3436000000</v>
      </c>
      <c r="C10" s="18">
        <v>2870000000</v>
      </c>
      <c r="D10" s="18">
        <v>2741000000</v>
      </c>
      <c r="E10" s="18">
        <v>1497000000</v>
      </c>
      <c r="F10" s="8" t="s">
        <v>93</v>
      </c>
    </row>
    <row r="11" spans="1:6" x14ac:dyDescent="0.25">
      <c r="A11" t="s">
        <v>94</v>
      </c>
      <c r="B11" s="18">
        <v>156000000</v>
      </c>
      <c r="C11" s="18">
        <v>122000000</v>
      </c>
      <c r="D11" s="18">
        <v>171000000</v>
      </c>
      <c r="E11" s="18">
        <v>117000000</v>
      </c>
      <c r="F11" s="8" t="s">
        <v>95</v>
      </c>
    </row>
    <row r="12" spans="1:6" x14ac:dyDescent="0.25">
      <c r="A12" t="s">
        <v>32</v>
      </c>
      <c r="B12" s="34">
        <v>121717876</v>
      </c>
      <c r="C12" s="34">
        <v>127779228</v>
      </c>
      <c r="D12" s="34">
        <v>131748171</v>
      </c>
      <c r="E12" s="34">
        <v>137755670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