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<sst xmlns="http://schemas.openxmlformats.org/spreadsheetml/2006/main" count="119" uniqueCount="106">
  <si>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Host Hotels &amp; Resorts, Inc. (HST)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</si>
  <si>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</si>
  <si>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</si>
  <si>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</si>
  <si>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</si>
  <si>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</si>
  <si>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</si>
  <si>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</si>
  <si>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</si>
  <si>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</si>
  <si>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</si>
  <si>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</si>
  <si>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</si>
  <si>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</si>
  <si>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</si>
  <si>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</si>
  <si>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</si>
  <si>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</si>
  <si>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</si>
  <si>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</si>
  <si>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</si>
  <si>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</si>
  <si>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</si>
  <si>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</si>
  <si>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3.5x interest cover. Book interest / average debt was lower, at 4.2%.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</si>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</sst>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0.008250140660778449</v>
      </c>
    </row>
    <row r="7" spans="1:2" x14ac:dyDescent="0.25">
      <c r="A7" t="s">
        <v>4</v>
      </c>
      <c r="B7" s="5">
        <v>0.1413891069611548</v>
      </c>
    </row>
    <row r="8" spans="1:2" x14ac:dyDescent="0.25">
      <c r="A8" t="s">
        <v>5</v>
      </c>
      <c r="B8" s="5">
        <v>0.04227462763576214</v>
      </c>
    </row>
    <row r="9" spans="1:2" x14ac:dyDescent="0.25">
      <c r="A9" t="s">
        <v>6</v>
      </c>
      <c r="B9" s="5">
        <v>0.13266097769733545</v>
      </c>
    </row>
    <row r="10" spans="1:3" x14ac:dyDescent="0.25">
      <c r="A10" t="s">
        <v>7</v>
      </c>
      <c r="B10" s="5">
        <v>0.1065219401386995</v>
      </c>
      <c r="C10" s="6" t="s">
        <v>8</v>
      </c>
    </row>
    <row r="11" spans="1:2" x14ac:dyDescent="0.25">
      <c r="A11" t="s">
        <v>9</v>
      </c>
      <c r="B11" s="5">
        <v>-0.19534883720930232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13.806014189421894</v>
      </c>
    </row>
    <row r="14" spans="1:3" x14ac:dyDescent="0.25">
      <c r="A14" t="s">
        <v>12</v>
      </c>
      <c r="B14" s="5">
        <v>0.0850425063336461</v>
      </c>
      <c r="C14" s="6" t="s">
        <v>13</v>
      </c>
    </row>
    <row r="15" spans="1:3" x14ac:dyDescent="0.25">
      <c r="A15" t="s">
        <v>14</v>
      </c>
      <c r="B15" s="5">
        <v>0.13266097769733545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1.07839</v>
      </c>
      <c r="C19" s="6" t="s">
        <v>21</v>
      </c>
    </row>
    <row r="20" spans="1:2" x14ac:dyDescent="0.25">
      <c r="A20" t="s">
        <v>22</v>
      </c>
      <c r="B20" s="9">
        <f>B17+B19*B18</f>
        <v>0.094555897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17576579072</v>
      </c>
    </row>
    <row r="23" spans="1:2" x14ac:dyDescent="0.25">
      <c r="A23" t="s">
        <v>26</v>
      </c>
      <c r="B23" s="10">
        <v>5640000000</v>
      </c>
    </row>
    <row r="24" spans="1:2" x14ac:dyDescent="0.25">
      <c r="A24" t="s">
        <v>27</v>
      </c>
      <c r="B24" s="9">
        <f>B22/(B22+B23)</f>
        <v>0.7570701530785802</v>
      </c>
    </row>
    <row r="25" spans="1:2" x14ac:dyDescent="0.25">
      <c r="A25" t="s">
        <v>28</v>
      </c>
      <c r="B25" s="9">
        <f>1-B24</f>
        <v>0.24292984692141983</v>
      </c>
    </row>
    <row r="26" spans="1:2" x14ac:dyDescent="0.25">
      <c r="A26" t="s">
        <v>29</v>
      </c>
      <c r="B26" s="11">
        <f>B24*B20+B25*B21*(1-B8)</f>
        <v>0.0850425063336461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6114000000</v>
      </c>
      <c r="C29" s="6" t="s">
        <v>32</v>
      </c>
    </row>
    <row r="30" spans="1:2" x14ac:dyDescent="0.25">
      <c r="A30" t="s">
        <v>33</v>
      </c>
      <c r="B30" s="10">
        <v>4872000000</v>
      </c>
    </row>
    <row r="31" spans="1:2" x14ac:dyDescent="0.25">
      <c r="A31" t="s">
        <v>34</v>
      </c>
      <c r="B31" s="12">
        <v>694100000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0.008250140660778449</v>
      </c>
      <c r="C5" s="5">
        <v>0.005219517571986465</v>
      </c>
      <c r="D5" s="5">
        <v>0.007692077875488157</v>
      </c>
      <c r="E5" s="5">
        <v>0.010164638178989849</v>
      </c>
      <c r="F5" s="5">
        <v>0.012637198482491542</v>
      </c>
      <c r="G5" s="5">
        <v>0.015109758785993233</v>
      </c>
      <c r="H5" s="5">
        <v>0.017582319089494924</v>
      </c>
      <c r="I5" s="5">
        <v>0.02005487939299662</v>
      </c>
      <c r="J5" s="5">
        <v>0.02252743969649831</v>
      </c>
      <c r="K5" s="5">
        <v>0.025</v>
      </c>
    </row>
    <row r="6" spans="1:11" x14ac:dyDescent="0.25">
      <c r="A6" t="s">
        <v>50</v>
      </c>
      <c r="B6" s="18">
        <f>Assumptions!B29*(1+B5)</f>
        <v>6164441359.999999</v>
      </c>
      <c r="C6" s="18">
        <f>B6*(1+C5)</f>
        <v>6196616769.999999</v>
      </c>
      <c r="D6" s="18">
        <f>C6*(1+D5)</f>
        <v>6244281628.759395</v>
      </c>
      <c r="E6" s="18">
        <f>D6*(1+E5)</f>
        <v>6307752492.203448</v>
      </c>
      <c r="F6" s="18">
        <f>E6*(1+F5)</f>
        <v>6387464812.425854</v>
      </c>
      <c r="G6" s="18">
        <f>F6*(1+G5)</f>
        <v>6483977864.995627</v>
      </c>
      <c r="H6" s="18">
        <f>G6*(1+H5)</f>
        <v>6597981232.787202</v>
      </c>
      <c r="I6" s="18">
        <f>H6*(1+I5)</f>
        <v>6730302950.648005</v>
      </c>
      <c r="J6" s="18">
        <f>I6*(1+J5)</f>
        <v>6881919444.507892</v>
      </c>
      <c r="K6" s="18">
        <f>J6*(1+K5)</f>
        <v>7053967430.620588</v>
      </c>
    </row>
    <row r="7" spans="1:11" x14ac:dyDescent="0.25">
      <c r="A7" t="s">
        <v>4</v>
      </c>
      <c r="B7" s="9">
        <f>Assumptions!B7</f>
        <v>0.1413891069611548</v>
      </c>
      <c r="C7" s="9">
        <f>Assumptions!B7</f>
        <v>0.1413891069611548</v>
      </c>
      <c r="D7" s="9">
        <f>Assumptions!B7</f>
        <v>0.1413891069611548</v>
      </c>
      <c r="E7" s="9">
        <f>Assumptions!B7</f>
        <v>0.1413891069611548</v>
      </c>
      <c r="F7" s="9">
        <f>Assumptions!B7</f>
        <v>0.1413891069611548</v>
      </c>
      <c r="G7" s="9">
        <f>Assumptions!B7</f>
        <v>0.1413891069611548</v>
      </c>
      <c r="H7" s="9">
        <f>Assumptions!B7</f>
        <v>0.1413891069611548</v>
      </c>
      <c r="I7" s="9">
        <f>Assumptions!B7</f>
        <v>0.1413891069611548</v>
      </c>
      <c r="J7" s="9">
        <f>Assumptions!B7</f>
        <v>0.1413891069611548</v>
      </c>
      <c r="K7" s="9">
        <f>Assumptions!B7</f>
        <v>0.1413891069611548</v>
      </c>
    </row>
    <row r="8" spans="1:11" x14ac:dyDescent="0.25">
      <c r="A8" t="s">
        <v>51</v>
      </c>
      <c r="B8" s="18">
        <f>B6*B7</f>
        <v>871584858.8048065</v>
      </c>
      <c r="C8" s="18">
        <f>C6*C7</f>
        <v>876134111.2908155</v>
      </c>
      <c r="D8" s="18">
        <f>D6*D7</f>
        <v>882873403.104236</v>
      </c>
      <c r="E8" s="18">
        <f>E6*E7</f>
        <v>891847491.8046441</v>
      </c>
      <c r="F8" s="18">
        <f>F6*F7</f>
        <v>903117945.5746917</v>
      </c>
      <c r="G8" s="18">
        <f>G6*G7</f>
        <v>916763839.887627</v>
      </c>
      <c r="H8" s="18">
        <f>H6*H7</f>
        <v>932882674.2502418</v>
      </c>
      <c r="I8" s="18">
        <f>I6*I7</f>
        <v>951591523.7701465</v>
      </c>
      <c r="J8" s="18">
        <f>J6*J7</f>
        <v>973028444.4375774</v>
      </c>
      <c r="K8" s="18">
        <f>K6*K7</f>
        <v>997354155.5485168</v>
      </c>
    </row>
    <row r="9" spans="1:11" x14ac:dyDescent="0.25">
      <c r="A9" t="s">
        <v>52</v>
      </c>
      <c r="B9" s="18">
        <f>B8*(1-Assumptions!B8)</f>
        <v>834738933.4458649</v>
      </c>
      <c r="C9" s="18">
        <f>C8*(1-Assumptions!B8)</f>
        <v>839095867.9770068</v>
      </c>
      <c r="D9" s="18">
        <f>D8*(1-Assumptions!B8)</f>
        <v>845550258.7384863</v>
      </c>
      <c r="E9" s="18">
        <f>E8*(1-Assumptions!B8)</f>
        <v>854144971.1807144</v>
      </c>
      <c r="F9" s="18">
        <f>F8*(1-Assumptions!B8)</f>
        <v>864938970.714347</v>
      </c>
      <c r="G9" s="18">
        <f>G8*(1-Assumptions!B8)</f>
        <v>878007989.9264461</v>
      </c>
      <c r="H9" s="18">
        <f>H8*(1-Assumptions!B8)</f>
        <v>893445406.5684588</v>
      </c>
      <c r="I9" s="18">
        <f>I8*(1-Assumptions!B8)</f>
        <v>911363346.441416</v>
      </c>
      <c r="J9" s="18">
        <f>J8*(1-Assumptions!B8)</f>
        <v>931894029.2699739</v>
      </c>
      <c r="K9" s="18">
        <f>K8*(1-Assumptions!B8)</f>
        <v>955191380.0017232</v>
      </c>
    </row>
    <row r="10" spans="1:11" x14ac:dyDescent="0.25">
      <c r="A10" t="s">
        <v>53</v>
      </c>
      <c r="B10" s="18">
        <f>B6*Assumptions!B9</f>
        <v>817780817.7754921</v>
      </c>
      <c r="C10" s="18">
        <f>C6*Assumptions!B9</f>
        <v>822049239.1239047</v>
      </c>
      <c r="D10" s="18">
        <f>D6*Assumptions!B9</f>
        <v>828372505.8887316</v>
      </c>
      <c r="E10" s="18">
        <f>E6*Assumptions!B9</f>
        <v>836792612.6885138</v>
      </c>
      <c r="F10" s="18">
        <f>F6*Assumptions!B9</f>
        <v>847367327.0237411</v>
      </c>
      <c r="G10" s="18">
        <f>G6*Assumptions!B9</f>
        <v>860170842.9382017</v>
      </c>
      <c r="H10" s="18">
        <f>H6*Assumptions!B9</f>
        <v>875294641.1702209</v>
      </c>
      <c r="I10" s="18">
        <f>I6*Assumptions!B9</f>
        <v>892848569.6322259</v>
      </c>
      <c r="J10" s="18">
        <f>J6*Assumptions!B9</f>
        <v>912962161.9427207</v>
      </c>
      <c r="K10" s="18">
        <f>K6*Assumptions!B9</f>
        <v>935786215.9912885</v>
      </c>
    </row>
    <row r="11" spans="1:11" x14ac:dyDescent="0.25">
      <c r="A11" t="s">
        <v>54</v>
      </c>
      <c r="B11" s="18">
        <f>-B6*B19</f>
        <v>-656648253.5384433</v>
      </c>
      <c r="C11" s="18">
        <f>-C6*C19</f>
        <v>-705480434.8229434</v>
      </c>
      <c r="D11" s="18">
        <f>-D6*D19</f>
        <v>-756661096.6665803</v>
      </c>
      <c r="E11" s="18">
        <f>-E6*E19</f>
        <v>-810571407.7153565</v>
      </c>
      <c r="F11" s="18">
        <f>-F6*F19</f>
        <v>-867617964.5094254</v>
      </c>
      <c r="G11" s="18">
        <f>-G6*G19</f>
        <v>-928237852.8405172</v>
      </c>
      <c r="H11" s="18">
        <f>-H6*H19</f>
        <v>-992904159.9690839</v>
      </c>
      <c r="I11" s="18">
        <f>-I6*I19</f>
        <v>-1062132033.9997066</v>
      </c>
      <c r="J11" s="18">
        <f>-J6*J19</f>
        <v>-1136485397.6650872</v>
      </c>
      <c r="K11" s="18">
        <f>-K6*K19</f>
        <v>-1216584437.134441</v>
      </c>
    </row>
    <row r="12" spans="1:11" x14ac:dyDescent="0.25">
      <c r="A12" t="s">
        <v>55</v>
      </c>
      <c r="B12" s="18">
        <f>-(B6-Assumptions!B29)*Assumptions!B11</f>
        <v>9853661.023255628</v>
      </c>
      <c r="C12" s="18">
        <f>-(C6-B6)*Assumptions!B11</f>
        <v>6285428.930232558</v>
      </c>
      <c r="D12" s="18">
        <f>-(D6-C6)*Assumptions!B11</f>
        <v>9311274.73439356</v>
      </c>
      <c r="E12" s="18">
        <f>-(E6-D6)*Assumptions!B11</f>
        <v>12398959.370466294</v>
      </c>
      <c r="F12" s="18">
        <f>-(F6-E6)*Assumptions!B11</f>
        <v>15571709.066702457</v>
      </c>
      <c r="G12" s="18">
        <f>-(G6-F6)*Assumptions!B11</f>
        <v>18853712.595025554</v>
      </c>
      <c r="H12" s="18">
        <f>-(H6-G6)*Assumptions!B11</f>
        <v>22270425.3360285</v>
      </c>
      <c r="I12" s="18">
        <f>-(I6-H6)*Assumptions!B11</f>
        <v>25848893.72164517</v>
      </c>
      <c r="J12" s="18">
        <f>-(J6-I6)*Assumptions!B11</f>
        <v>29618105.777280275</v>
      </c>
      <c r="K12" s="18">
        <f>-(K6-J6)*Assumptions!B11</f>
        <v>33609374.03131749</v>
      </c>
    </row>
    <row r="13" spans="1:11" x14ac:dyDescent="0.25">
      <c r="A13" s="19" t="s">
        <v>56</v>
      </c>
      <c r="B13" s="20">
        <f>B9+B10+B11+B12</f>
        <v>1005725158.7061691</v>
      </c>
      <c r="C13" s="20">
        <f>C9+C10+C11+C12</f>
        <v>961950101.2082007</v>
      </c>
      <c r="D13" s="20">
        <f>D9+D10+D11+D12</f>
        <v>926572942.695031</v>
      </c>
      <c r="E13" s="20">
        <f>E9+E10+E11+E12</f>
        <v>892765135.524338</v>
      </c>
      <c r="F13" s="20">
        <f>F9+F10+F11+F12</f>
        <v>860260042.2953652</v>
      </c>
      <c r="G13" s="20">
        <f>G9+G10+G11+G12</f>
        <v>828794692.6191562</v>
      </c>
      <c r="H13" s="20">
        <f>H9+H10+H11+H12</f>
        <v>798106313.1056242</v>
      </c>
      <c r="I13" s="20">
        <f>I9+I10+I11+I12</f>
        <v>767928775.7955803</v>
      </c>
      <c r="J13" s="20">
        <f>J9+J10+J11+J12</f>
        <v>737988899.3248878</v>
      </c>
      <c r="K13" s="20">
        <f>K9+K10+K11+K12</f>
        <v>708002532.8898883</v>
      </c>
    </row>
    <row r="14" spans="1:11" x14ac:dyDescent="0.25">
      <c r="A14" t="s">
        <v>57</v>
      </c>
      <c r="B14" s="21">
        <f>1/(1+Assumptions!$B$26)^(1-0.5*Assumptions!$B$32)</f>
        <v>0.960011916780084</v>
      </c>
      <c r="C14" s="21">
        <f>1/(1+Assumptions!$B$26)^(2-0.5*Assumptions!$B$32)</f>
        <v>0.8847689479225658</v>
      </c>
      <c r="D14" s="21">
        <f>1/(1+Assumptions!$B$26)^(3-0.5*Assumptions!$B$32)</f>
        <v>0.8154233062372792</v>
      </c>
      <c r="E14" s="21">
        <f>1/(1+Assumptions!$B$26)^(4-0.5*Assumptions!$B$32)</f>
        <v>0.7515127762068888</v>
      </c>
      <c r="F14" s="21">
        <f>1/(1+Assumptions!$B$26)^(5-0.5*Assumptions!$B$32)</f>
        <v>0.6926113694349608</v>
      </c>
      <c r="G14" s="21">
        <f>1/(1+Assumptions!$B$26)^(6-0.5*Assumptions!$B$32)</f>
        <v>0.638326485268574</v>
      </c>
      <c r="H14" s="21">
        <f>1/(1+Assumptions!$B$26)^(7-0.5*Assumptions!$B$32)</f>
        <v>0.5882962939631521</v>
      </c>
      <c r="I14" s="21">
        <f>1/(1+Assumptions!$B$26)^(8-0.5*Assumptions!$B$32)</f>
        <v>0.5421873249472987</v>
      </c>
      <c r="J14" s="21">
        <f>1/(1+Assumptions!$B$26)^(9-0.5*Assumptions!$B$32)</f>
        <v>0.4996922441124885</v>
      </c>
      <c r="K14" s="21">
        <f>1/(1+Assumptions!$B$26)^(10-0.5*Assumptions!$B$32)</f>
        <v>0.46052780531238946</v>
      </c>
    </row>
    <row r="15" spans="1:11" x14ac:dyDescent="0.25">
      <c r="A15" s="19" t="s">
        <v>58</v>
      </c>
      <c r="B15" s="20">
        <f>B13*B14</f>
        <v>965508137.3634636</v>
      </c>
      <c r="C15" s="20">
        <f>C13*C14</f>
        <v>851103578.9999853</v>
      </c>
      <c r="D15" s="20">
        <f>D13*D14</f>
        <v>755549172.4023873</v>
      </c>
      <c r="E15" s="20">
        <f>E13*E14</f>
        <v>670924405.4986145</v>
      </c>
      <c r="F15" s="20">
        <f>F13*F14</f>
        <v>595825885.9643703</v>
      </c>
      <c r="G15" s="20">
        <f>G13*G14</f>
        <v>529041603.14883417</v>
      </c>
      <c r="H15" s="20">
        <f>H13*H14</f>
        <v>469522986.1886338</v>
      </c>
      <c r="I15" s="20">
        <f>I13*I14</f>
        <v>416361248.6986596</v>
      </c>
      <c r="J15" s="20">
        <f>J13*J14</f>
        <v>368767329.2337585</v>
      </c>
      <c r="K15" s="20">
        <f>K13*K14</f>
        <v>326054852.62739307</v>
      </c>
    </row>
    <row r="17" spans="1:2" x14ac:dyDescent="0.25">
      <c r="A17" s="22" t="s">
        <v>59</v>
      </c>
      <c r="B17" s="23">
        <f>SUM(B15:K15)</f>
        <v>5948659200.126101</v>
      </c>
    </row>
    <row r="19" spans="1:11" x14ac:dyDescent="0.25">
      <c r="A19" t="s">
        <v>7</v>
      </c>
      <c r="B19" s="9">
        <f>Assumptions!$B$10+($B$20-Assumptions!$B$10)*0/9</f>
        <v>0.1065219401386995</v>
      </c>
      <c r="C19" s="9">
        <f>Assumptions!$B$10+($B$20-Assumptions!$B$10)*1/9</f>
        <v>0.11384929244590732</v>
      </c>
      <c r="D19" s="9">
        <f>Assumptions!$B$10+($B$20-Assumptions!$B$10)*2/9</f>
        <v>0.12117664475311513</v>
      </c>
      <c r="E19" s="9">
        <f>Assumptions!$B$10+($B$20-Assumptions!$B$10)*3/9</f>
        <v>0.12850399706032292</v>
      </c>
      <c r="F19" s="9">
        <f>Assumptions!$B$10+($B$20-Assumptions!$B$10)*4/9</f>
        <v>0.13583134936753075</v>
      </c>
      <c r="G19" s="9">
        <f>Assumptions!$B$10+($B$20-Assumptions!$B$10)*5/9</f>
        <v>0.14315870167473854</v>
      </c>
      <c r="H19" s="9">
        <f>Assumptions!$B$10+($B$20-Assumptions!$B$10)*6/9</f>
        <v>0.15048605398194637</v>
      </c>
      <c r="I19" s="9">
        <f>Assumptions!$B$10+($B$20-Assumptions!$B$10)*7/9</f>
        <v>0.15781340628915416</v>
      </c>
      <c r="J19" s="9">
        <f>Assumptions!$B$10+($B$20-Assumptions!$B$10)*8/9</f>
        <v>0.16514075859636196</v>
      </c>
      <c r="K19" s="9">
        <f>Assumptions!$B$10+($B$20-Assumptions!$B$10)*9/9</f>
        <v>0.17246811090356978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0.17246811090356978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708002532.8898883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955191380.0017232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0.2939706398341301</v>
      </c>
    </row>
    <row r="7" spans="1:2" x14ac:dyDescent="0.25">
      <c r="A7" t="s">
        <v>66</v>
      </c>
      <c r="B7" s="18">
        <f>-MAX(B5,0)*B6</f>
        <v>-280798221.14315224</v>
      </c>
    </row>
    <row r="8" spans="1:2" x14ac:dyDescent="0.25">
      <c r="A8" t="s">
        <v>67</v>
      </c>
      <c r="B8" s="18">
        <f>IF(OR(Assumptions!$B$33=0,Assumptions!B12&lt;=0),B5,MAX(B5+B7,0))</f>
        <v>674393158.8585709</v>
      </c>
    </row>
    <row r="9" spans="1:2" x14ac:dyDescent="0.25">
      <c r="A9" t="s">
        <v>68</v>
      </c>
      <c r="B9" s="18">
        <f>B8*(1+Assumptions!B12)/(Assumptions!B26-Assumptions!B12)</f>
        <v>11512727066.869238</v>
      </c>
    </row>
    <row r="10" spans="1:2" x14ac:dyDescent="0.25">
      <c r="A10" t="s">
        <v>69</v>
      </c>
      <c r="B10" s="18">
        <f>B9/(1+Assumptions!B26)^(10-0.5*Assumptions!B32)</f>
        <v>5301930929.265833</v>
      </c>
    </row>
    <row r="11" spans="1:2" x14ac:dyDescent="0.25">
      <c r="A11" t="s">
        <v>70</v>
      </c>
      <c r="B11" s="18">
        <f>Forecast!B17+B10</f>
        <v>11250590129.391933</v>
      </c>
    </row>
    <row r="12" spans="1:2" x14ac:dyDescent="0.25">
      <c r="A12" t="s">
        <v>71</v>
      </c>
      <c r="B12" s="18">
        <f>-Assumptions!B30</f>
        <v>-4872000000</v>
      </c>
    </row>
    <row r="13" spans="1:2" x14ac:dyDescent="0.25">
      <c r="A13" t="s">
        <v>72</v>
      </c>
      <c r="B13" s="18">
        <f>B11+B12</f>
        <v>6378590129.391933</v>
      </c>
    </row>
    <row r="14" spans="1:2" x14ac:dyDescent="0.25">
      <c r="A14" s="19" t="s">
        <v>73</v>
      </c>
      <c r="B14" s="24">
        <f>B13/Assumptions!B31</f>
        <v>9.189727891358498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1933140371.5398054</v>
      </c>
    </row>
    <row r="18" spans="1:2" x14ac:dyDescent="0.25">
      <c r="A18" t="s">
        <v>68</v>
      </c>
      <c r="B18" s="18">
        <f>B17*Assumptions!B13</f>
        <v>26688963399.622868</v>
      </c>
    </row>
    <row r="19" spans="1:2" x14ac:dyDescent="0.25">
      <c r="A19" t="s">
        <v>69</v>
      </c>
      <c r="B19" s="18">
        <f>B18/(1+Assumptions!B26)^(10-0.5*Assumptions!B32)</f>
        <v>12291009740.491009</v>
      </c>
    </row>
    <row r="20" spans="1:2" x14ac:dyDescent="0.25">
      <c r="A20" t="s">
        <v>70</v>
      </c>
      <c r="B20" s="18">
        <f>Forecast!B17+B19</f>
        <v>18239668940.61711</v>
      </c>
    </row>
    <row r="21" spans="1:2" x14ac:dyDescent="0.25">
      <c r="A21" t="s">
        <v>71</v>
      </c>
      <c r="B21" s="18">
        <f>-Assumptions!B30</f>
        <v>-4872000000</v>
      </c>
    </row>
    <row r="22" spans="1:2" x14ac:dyDescent="0.25">
      <c r="A22" t="s">
        <v>72</v>
      </c>
      <c r="B22" s="18">
        <f>B20+B21</f>
        <v>13367668940.617111</v>
      </c>
    </row>
    <row r="23" spans="1:2" x14ac:dyDescent="0.25">
      <c r="A23" s="19" t="s">
        <v>73</v>
      </c>
      <c r="B23" s="25">
        <f>B22/Assumptions!B31</f>
        <v>19.258995736373883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25.3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9.189727891358498</v>
      </c>
    </row>
    <row r="29" spans="1:2" x14ac:dyDescent="0.25">
      <c r="A29" s="19" t="s">
        <v>81</v>
      </c>
      <c r="B29" s="11">
        <f>B28/B26-1</f>
        <v>-0.6367696485629053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0.065043</v>
      </c>
      <c r="B5" s="31">
        <v>14.365197409646978</v>
      </c>
      <c r="C5" s="31">
        <v>14.124395370687582</v>
      </c>
      <c r="D5" s="31">
        <v>13.889746725201022</v>
      </c>
      <c r="E5" s="31">
        <v>13.663885405844116</v>
      </c>
      <c r="F5" s="31">
        <v>13.451198787111583</v>
      </c>
    </row>
    <row r="6" spans="1:6" x14ac:dyDescent="0.25">
      <c r="A6" s="30">
        <v>0.075043</v>
      </c>
      <c r="B6" s="31">
        <v>11.61695019318277</v>
      </c>
      <c r="C6" s="31">
        <v>11.396303187727368</v>
      </c>
      <c r="D6" s="31">
        <v>11.175656182271958</v>
      </c>
      <c r="E6" s="31">
        <v>10.955009176816555</v>
      </c>
      <c r="F6" s="31">
        <v>10.734362171361148</v>
      </c>
    </row>
    <row r="7" spans="1:6" x14ac:dyDescent="0.25">
      <c r="A7" s="30">
        <v>0.085043</v>
      </c>
      <c r="B7" s="31">
        <v>9.558266709968942</v>
      </c>
      <c r="C7" s="31">
        <v>9.373953973938821</v>
      </c>
      <c r="D7" s="32">
        <v>9.189641237908699</v>
      </c>
      <c r="E7" s="31">
        <v>9.005328501878578</v>
      </c>
      <c r="F7" s="31">
        <v>8.821015765848456</v>
      </c>
    </row>
    <row r="8" spans="1:6" x14ac:dyDescent="0.25">
      <c r="A8" s="30">
        <v>0.095043</v>
      </c>
      <c r="B8" s="31">
        <v>7.929164304194921</v>
      </c>
      <c r="C8" s="31">
        <v>7.772910291211203</v>
      </c>
      <c r="D8" s="31">
        <v>7.616656278227482</v>
      </c>
      <c r="E8" s="31">
        <v>7.460402265243761</v>
      </c>
      <c r="F8" s="31">
        <v>7.30414825226004</v>
      </c>
    </row>
    <row r="9" spans="1:6" x14ac:dyDescent="0.25">
      <c r="A9" s="30">
        <v>0.105043</v>
      </c>
      <c r="B9" s="31">
        <v>6.607223587878856</v>
      </c>
      <c r="C9" s="31">
        <v>6.473161389085044</v>
      </c>
      <c r="D9" s="31">
        <v>6.339099190291229</v>
      </c>
      <c r="E9" s="31">
        <v>6.205036991497414</v>
      </c>
      <c r="F9" s="31">
        <v>6.070974792703602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6114000000</v>
      </c>
      <c r="C5" s="18">
        <v>5684000000</v>
      </c>
      <c r="D5" s="18">
        <v>5311000000</v>
      </c>
      <c r="E5" s="18">
        <v>4907000000</v>
      </c>
      <c r="F5" s="6" t="s">
        <v>91</v>
      </c>
    </row>
    <row r="6" spans="1:6" x14ac:dyDescent="0.25">
      <c r="A6" t="s">
        <v>51</v>
      </c>
      <c r="B6" s="18">
        <v>831000000</v>
      </c>
      <c r="C6" s="18">
        <v>771000000</v>
      </c>
      <c r="D6" s="18">
        <v>741000000</v>
      </c>
      <c r="E6" s="18">
        <v>758000000</v>
      </c>
      <c r="F6" s="6" t="s">
        <v>92</v>
      </c>
    </row>
    <row r="7" spans="1:6" x14ac:dyDescent="0.25">
      <c r="A7" t="s">
        <v>93</v>
      </c>
      <c r="B7" s="18">
        <v>795000000</v>
      </c>
      <c r="C7" s="18">
        <v>762000000</v>
      </c>
      <c r="D7" s="18">
        <v>697000000</v>
      </c>
      <c r="E7" s="18">
        <v>664000000</v>
      </c>
      <c r="F7" s="6" t="s">
        <v>94</v>
      </c>
    </row>
    <row r="8" spans="1:6" x14ac:dyDescent="0.25">
      <c r="A8" t="s">
        <v>95</v>
      </c>
      <c r="B8" s="18">
        <v>644000000</v>
      </c>
      <c r="C8" s="18">
        <v>548000000</v>
      </c>
      <c r="D8" s="18">
        <v>646000000</v>
      </c>
      <c r="E8" s="18">
        <v>504000000</v>
      </c>
      <c r="F8" s="6" t="s">
        <v>96</v>
      </c>
    </row>
    <row r="9" spans="1:6" x14ac:dyDescent="0.25">
      <c r="A9" t="s">
        <v>97</v>
      </c>
      <c r="B9" s="18">
        <v>-84000000</v>
      </c>
      <c r="C9" s="18">
        <v>-106000000</v>
      </c>
      <c r="D9" s="18">
        <v>114000000</v>
      </c>
      <c r="E9" s="18">
        <v>-49000000</v>
      </c>
      <c r="F9" s="6" t="s">
        <v>98</v>
      </c>
    </row>
    <row r="10" spans="1:6" x14ac:dyDescent="0.25">
      <c r="A10" t="s">
        <v>99</v>
      </c>
      <c r="B10" s="18">
        <v>5640000000</v>
      </c>
      <c r="C10" s="18">
        <v>5643000000</v>
      </c>
      <c r="D10" s="18">
        <v>4772000000</v>
      </c>
      <c r="E10" s="18">
        <v>4783000000</v>
      </c>
      <c r="F10" s="6" t="s">
        <v>100</v>
      </c>
    </row>
    <row r="11" spans="1:6" x14ac:dyDescent="0.25">
      <c r="A11" t="s">
        <v>101</v>
      </c>
      <c r="B11" s="18">
        <v>768000000</v>
      </c>
      <c r="C11" s="18">
        <v>554000000</v>
      </c>
      <c r="D11" s="18">
        <v>1144000000</v>
      </c>
      <c r="E11" s="18">
        <v>667000000</v>
      </c>
      <c r="F11" s="6" t="s">
        <v>102</v>
      </c>
    </row>
    <row r="12" spans="1:6" x14ac:dyDescent="0.25">
      <c r="A12" t="s">
        <v>34</v>
      </c>
      <c r="B12" s="34">
        <v>694100000</v>
      </c>
      <c r="C12" s="34">
        <v>704000000</v>
      </c>
      <c r="D12" s="34">
        <v>712800000</v>
      </c>
      <c r="E12" s="34">
        <v>717500000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