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<sst xmlns="http://schemas.openxmlformats.org/spreadsheetml/2006/main" count="114" uniqueCount="102">
  <si>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Hiscox Ltd (HSX.L)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</si>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</sst>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0.11506186962575882</v>
      </c>
    </row>
    <row r="7" spans="1:2" x14ac:dyDescent="0.25">
      <c r="A7" t="s">
        <v>5</v>
      </c>
      <c r="B7" s="6">
        <v>0.1608647357814394</v>
      </c>
    </row>
    <row r="8" spans="1:2" x14ac:dyDescent="0.25">
      <c r="A8" t="s">
        <v>6</v>
      </c>
      <c r="B8" s="6">
        <v>0.08491391887948643</v>
      </c>
    </row>
    <row r="9" spans="1:2" x14ac:dyDescent="0.25">
      <c r="A9" t="s">
        <v>7</v>
      </c>
      <c r="B9" s="6">
        <v>0.018939675351250466</v>
      </c>
    </row>
    <row r="10" spans="1:2" x14ac:dyDescent="0.25">
      <c r="A10" t="s">
        <v>8</v>
      </c>
      <c r="B10" s="6">
        <v>0.0159108976632566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7.670939812147777</v>
      </c>
    </row>
    <row r="14" spans="1:3" x14ac:dyDescent="0.25">
      <c r="A14" t="s">
        <v>12</v>
      </c>
      <c r="B14" s="6">
        <v>0.14209141681608645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0.5953200000000001</v>
      </c>
      <c r="C19" s="8" t="s">
        <v>19</v>
      </c>
    </row>
    <row r="20" spans="1:2" x14ac:dyDescent="0.25">
      <c r="A20" t="s">
        <v>20</v>
      </c>
      <c r="B20" s="10">
        <f>B17+B19*B18</f>
        <v>0.0777426</v>
      </c>
    </row>
    <row r="21" spans="1:3" x14ac:dyDescent="0.25">
      <c r="A21" t="s">
        <v>21</v>
      </c>
      <c r="B21" s="6">
        <v>0.08121580547112461</v>
      </c>
      <c r="C21" s="8" t="s">
        <v>22</v>
      </c>
    </row>
    <row r="22" spans="1:2" x14ac:dyDescent="0.25">
      <c r="A22" t="s">
        <v>23</v>
      </c>
      <c r="B22" s="11">
        <v>6101245440</v>
      </c>
    </row>
    <row r="23" spans="1:2" x14ac:dyDescent="0.25">
      <c r="A23" t="s">
        <v>24</v>
      </c>
      <c r="B23" s="11">
        <v>902000000</v>
      </c>
    </row>
    <row r="24" spans="1:2" x14ac:dyDescent="0.25">
      <c r="A24" t="s">
        <v>25</v>
      </c>
      <c r="B24" s="10">
        <f>B22/(B22+B23)</f>
        <v>0.8712025720463683</v>
      </c>
    </row>
    <row r="25" spans="1:2" x14ac:dyDescent="0.25">
      <c r="A25" t="s">
        <v>26</v>
      </c>
      <c r="B25" s="10">
        <f>1-B24</f>
        <v>0.1287974279536317</v>
      </c>
    </row>
    <row r="26" spans="1:2" x14ac:dyDescent="0.25">
      <c r="A26" t="s">
        <v>27</v>
      </c>
      <c r="B26" s="12">
        <f>B24*B20+B25*B21*(1-B8)</f>
        <v>0.07730170749067833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3950900000</v>
      </c>
      <c r="C29" s="8" t="s">
        <v>30</v>
      </c>
    </row>
    <row r="30" spans="1:2" x14ac:dyDescent="0.25">
      <c r="A30" t="s">
        <v>31</v>
      </c>
      <c r="B30" s="11">
        <v>24000000</v>
      </c>
    </row>
    <row r="31" spans="1:2" x14ac:dyDescent="0.25">
      <c r="A31" t="s">
        <v>32</v>
      </c>
      <c r="B31" s="13">
        <v>345289000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0.11506186962575882</v>
      </c>
      <c r="C5" s="10">
        <f>Assumptions!B6</f>
        <v>0.11506186962575882</v>
      </c>
      <c r="D5" s="10">
        <f>Assumptions!B6</f>
        <v>0.11506186962575882</v>
      </c>
      <c r="E5" s="10">
        <f>Assumptions!B6</f>
        <v>0.11506186962575882</v>
      </c>
      <c r="F5" s="10">
        <f>Assumptions!B6</f>
        <v>0.11506186962575882</v>
      </c>
    </row>
    <row r="6" spans="1:6" x14ac:dyDescent="0.25">
      <c r="A6" t="s">
        <v>43</v>
      </c>
      <c r="B6" s="18">
        <f>Assumptions!B29*(1+B5)</f>
        <v>4405497940.704411</v>
      </c>
      <c r="C6" s="18">
        <f>B6*(1+C5)</f>
        <v>4912402770.39429</v>
      </c>
      <c r="D6" s="18">
        <f>C6*(1+D5)</f>
        <v>5477633017.510614</v>
      </c>
      <c r="E6" s="18">
        <f>D6*(1+E5)</f>
        <v>6107899713.629172</v>
      </c>
      <c r="F6" s="18">
        <f>E6*(1+F5)</f>
        <v>6810686074.165981</v>
      </c>
    </row>
    <row r="7" spans="1:6" x14ac:dyDescent="0.25">
      <c r="A7" t="s">
        <v>5</v>
      </c>
      <c r="B7" s="10">
        <f>Assumptions!B7</f>
        <v>0.1608647357814394</v>
      </c>
      <c r="C7" s="10">
        <f>Assumptions!B7</f>
        <v>0.1608647357814394</v>
      </c>
      <c r="D7" s="10">
        <f>Assumptions!B7</f>
        <v>0.1608647357814394</v>
      </c>
      <c r="E7" s="10">
        <f>Assumptions!B7</f>
        <v>0.1608647357814394</v>
      </c>
      <c r="F7" s="10">
        <f>Assumptions!B7</f>
        <v>0.1608647357814394</v>
      </c>
    </row>
    <row r="8" spans="1:6" x14ac:dyDescent="0.25">
      <c r="A8" t="s">
        <v>44</v>
      </c>
      <c r="B8" s="18">
        <f>B6*B7</f>
        <v>708689262.2170904</v>
      </c>
      <c r="C8" s="18">
        <f>C6*C7</f>
        <v>790232373.7114884</v>
      </c>
      <c r="D8" s="18">
        <f>D6*D7</f>
        <v>881157988.0695336</v>
      </c>
      <c r="E8" s="18">
        <f>E6*E7</f>
        <v>982545673.6124861</v>
      </c>
      <c r="F8" s="18">
        <f>F6*F7</f>
        <v>1095599215.8110392</v>
      </c>
    </row>
    <row r="9" spans="1:6" x14ac:dyDescent="0.25">
      <c r="A9" t="s">
        <v>45</v>
      </c>
      <c r="B9" s="18">
        <f>B8*(1-Assumptions!B8)</f>
        <v>648511679.6944253</v>
      </c>
      <c r="C9" s="18">
        <f>C8*(1-Assumptions!B8)</f>
        <v>723130646.0342071</v>
      </c>
      <c r="D9" s="18">
        <f>D8*(1-Assumptions!B8)</f>
        <v>806335410.1505858</v>
      </c>
      <c r="E9" s="18">
        <f>E8*(1-Assumptions!B8)</f>
        <v>899113869.9879651</v>
      </c>
      <c r="F9" s="18">
        <f>F8*(1-Assumptions!B8)</f>
        <v>1002567592.8752317</v>
      </c>
    </row>
    <row r="10" spans="1:6" x14ac:dyDescent="0.25">
      <c r="A10" t="s">
        <v>46</v>
      </c>
      <c r="B10" s="18">
        <f>B6*Assumptions!B9</f>
        <v>83438700.75754401</v>
      </c>
      <c r="C10" s="18">
        <f>C6*Assumptions!B9</f>
        <v>93039313.66585124</v>
      </c>
      <c r="D10" s="18">
        <f>D6*Assumptions!B9</f>
        <v>103744591.0449415</v>
      </c>
      <c r="E10" s="18">
        <f>E6*Assumptions!B9</f>
        <v>115681637.65413222</v>
      </c>
      <c r="F10" s="18">
        <f>F6*Assumptions!B9</f>
        <v>128992183.16398624</v>
      </c>
    </row>
    <row r="11" spans="1:6" x14ac:dyDescent="0.25">
      <c r="A11" t="s">
        <v>47</v>
      </c>
      <c r="B11" s="18">
        <f>-B6*Assumptions!B10</f>
        <v>-70095426.89023557</v>
      </c>
      <c r="C11" s="18">
        <f>-C6*Assumptions!B10</f>
        <v>-78160737.76044175</v>
      </c>
      <c r="D11" s="18">
        <f>-D6*Assumptions!B10</f>
        <v>-87154058.37848683</v>
      </c>
      <c r="E11" s="18">
        <f>-E6*Assumptions!B10</f>
        <v>-97182167.28098805</v>
      </c>
      <c r="F11" s="18">
        <f>-F6*Assumptions!B10</f>
        <v>-108364129.14262177</v>
      </c>
    </row>
    <row r="12" spans="1:6" x14ac:dyDescent="0.25">
      <c r="A12" t="s">
        <v>48</v>
      </c>
      <c r="B12" s="18">
        <f>-(B6-Assumptions!B29)*Assumptions!B11</f>
        <v>-454597940.70441055</v>
      </c>
      <c r="C12" s="18">
        <f>-(C6-B6)*Assumptions!B11</f>
        <v>-506904829.6898794</v>
      </c>
      <c r="D12" s="18">
        <f>-(D6-C6)*Assumptions!B11</f>
        <v>-565230247.1163244</v>
      </c>
      <c r="E12" s="18">
        <f>-(E6-D6)*Assumptions!B11</f>
        <v>-630266696.1185579</v>
      </c>
      <c r="F12" s="18">
        <f>-(F6-E6)*Assumptions!B11</f>
        <v>-702786360.536809</v>
      </c>
    </row>
    <row r="13" spans="1:6" x14ac:dyDescent="0.25">
      <c r="A13" s="19" t="s">
        <v>49</v>
      </c>
      <c r="B13" s="20">
        <f>B9+B10+B11+B12</f>
        <v>207257012.8573233</v>
      </c>
      <c r="C13" s="20">
        <f>C9+C10+C11+C12</f>
        <v>231104392.24973714</v>
      </c>
      <c r="D13" s="20">
        <f>D9+D10+D11+D12</f>
        <v>257695695.70071602</v>
      </c>
      <c r="E13" s="20">
        <f>E9+E10+E11+E12</f>
        <v>287346644.2425513</v>
      </c>
      <c r="F13" s="20">
        <f>F9+F10+F11+F12</f>
        <v>320409286.3597872</v>
      </c>
    </row>
    <row r="14" spans="1:6" x14ac:dyDescent="0.25">
      <c r="A14" t="s">
        <v>50</v>
      </c>
      <c r="B14" s="21">
        <f>1/(1+Assumptions!$B$26)^(1-0.5*Assumptions!$B$32)</f>
        <v>0.9634547581692084</v>
      </c>
      <c r="C14" s="21">
        <f>1/(1+Assumptions!$B$26)^(2-0.5*Assumptions!$B$32)</f>
        <v>0.8943221304395315</v>
      </c>
      <c r="D14" s="21">
        <f>1/(1+Assumptions!$B$26)^(3-0.5*Assumptions!$B$32)</f>
        <v>0.8301501095014926</v>
      </c>
      <c r="E14" s="21">
        <f>1/(1+Assumptions!$B$26)^(4-0.5*Assumptions!$B$32)</f>
        <v>0.7705827473671536</v>
      </c>
      <c r="F14" s="21">
        <f>1/(1+Assumptions!$B$26)^(5-0.5*Assumptions!$B$32)</f>
        <v>0.7152896370711649</v>
      </c>
    </row>
    <row r="15" spans="1:6" x14ac:dyDescent="0.25">
      <c r="A15" s="19" t="s">
        <v>51</v>
      </c>
      <c r="B15" s="20">
        <f>B13*B14</f>
        <v>199682755.20132494</v>
      </c>
      <c r="C15" s="20">
        <f>C13*C14</f>
        <v>206681772.43071806</v>
      </c>
      <c r="D15" s="20">
        <f>D13*D14</f>
        <v>213926110.0040127</v>
      </c>
      <c r="E15" s="20">
        <f>E13*E14</f>
        <v>221424366.5671573</v>
      </c>
      <c r="F15" s="20">
        <f>F13*F14</f>
        <v>229185442.15452313</v>
      </c>
    </row>
    <row r="17" spans="1:2" x14ac:dyDescent="0.25">
      <c r="A17" s="22" t="s">
        <v>52</v>
      </c>
      <c r="B17" s="23">
        <f>SUM(B15:F15)</f>
        <v>1070900446.3577361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320409286.3597872</v>
      </c>
    </row>
    <row r="5" spans="1:2" x14ac:dyDescent="0.25">
      <c r="A5" t="s">
        <v>56</v>
      </c>
      <c r="B5" s="18">
        <f>IF(Assumptions!$B$33=0,B4,B4-Forecast!F11-Forecast!F10-Forecast!F12)</f>
        <v>1002567592.8752317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0.17594306932950296</v>
      </c>
    </row>
    <row r="7" spans="1:2" x14ac:dyDescent="0.25">
      <c r="A7" t="s">
        <v>58</v>
      </c>
      <c r="B7" s="18">
        <f>-MAX(Forecast!F9,0)*B6</f>
        <v>-176394819.5007598</v>
      </c>
    </row>
    <row r="8" spans="1:2" x14ac:dyDescent="0.25">
      <c r="A8" t="s">
        <v>59</v>
      </c>
      <c r="B8" s="18">
        <f>IF(OR(Assumptions!$B$33=0,Assumptions!B12&lt;=0),B5,MAX(B5+B7,0))</f>
        <v>826172773.3744719</v>
      </c>
    </row>
    <row r="9" spans="1:2" x14ac:dyDescent="0.25">
      <c r="A9" t="s">
        <v>60</v>
      </c>
      <c r="B9" s="18">
        <f>B8*(1+Assumptions!B12)/(Assumptions!B26-Assumptions!B12)</f>
        <v>16191194003.747633</v>
      </c>
    </row>
    <row r="10" spans="1:2" x14ac:dyDescent="0.25">
      <c r="A10" t="s">
        <v>61</v>
      </c>
      <c r="B10" s="18">
        <f>B9/(1+Assumptions!B26)^(5-0.5*Assumptions!B32)</f>
        <v>11581393282.689465</v>
      </c>
    </row>
    <row r="11" spans="1:2" x14ac:dyDescent="0.25">
      <c r="A11" t="s">
        <v>62</v>
      </c>
      <c r="B11" s="18">
        <f>Forecast!B17+B10</f>
        <v>12652293729.047201</v>
      </c>
    </row>
    <row r="12" spans="1:2" x14ac:dyDescent="0.25">
      <c r="A12" t="s">
        <v>63</v>
      </c>
      <c r="B12" s="18">
        <f>-Assumptions!B30</f>
        <v>-24000000</v>
      </c>
    </row>
    <row r="13" spans="1:2" x14ac:dyDescent="0.25">
      <c r="A13" t="s">
        <v>64</v>
      </c>
      <c r="B13" s="18">
        <f>B11+B12</f>
        <v>12628293729.047201</v>
      </c>
    </row>
    <row r="14" spans="1:2" x14ac:dyDescent="0.25">
      <c r="A14" s="19" t="s">
        <v>65</v>
      </c>
      <c r="B14" s="24">
        <f>B13/Assumptions!B31</f>
        <v>36.57311333128828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1224591398.9750254</v>
      </c>
    </row>
    <row r="18" spans="1:2" x14ac:dyDescent="0.25">
      <c r="A18" t="s">
        <v>60</v>
      </c>
      <c r="B18" s="18">
        <f>B17*Assumptions!B13</f>
        <v>9393766916.011265</v>
      </c>
    </row>
    <row r="19" spans="1:2" x14ac:dyDescent="0.25">
      <c r="A19" t="s">
        <v>61</v>
      </c>
      <c r="B19" s="18">
        <f>B18/(1+Assumptions!B26)^(5-0.5*Assumptions!B32)</f>
        <v>6719264128.084813</v>
      </c>
    </row>
    <row r="20" spans="1:2" x14ac:dyDescent="0.25">
      <c r="A20" t="s">
        <v>62</v>
      </c>
      <c r="B20" s="18">
        <f>Forecast!B17+B19</f>
        <v>7790164574.442549</v>
      </c>
    </row>
    <row r="21" spans="1:2" x14ac:dyDescent="0.25">
      <c r="A21" t="s">
        <v>63</v>
      </c>
      <c r="B21" s="18">
        <f>-Assumptions!B30</f>
        <v>-24000000</v>
      </c>
    </row>
    <row r="22" spans="1:2" x14ac:dyDescent="0.25">
      <c r="A22" t="s">
        <v>64</v>
      </c>
      <c r="B22" s="18">
        <f>B20+B21</f>
        <v>7766164574.442549</v>
      </c>
    </row>
    <row r="23" spans="1:2" x14ac:dyDescent="0.25">
      <c r="A23" s="19" t="s">
        <v>65</v>
      </c>
      <c r="B23" s="25">
        <f>B22/Assumptions!B31</f>
        <v>22.491781013708948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1924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2730.658360653977</v>
      </c>
    </row>
    <row r="29" spans="1:2" x14ac:dyDescent="0.25">
      <c r="A29" s="19" t="s">
        <v>73</v>
      </c>
      <c r="B29" s="12">
        <f>B28/B26-1</f>
        <v>0.4192611022110069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0.057302</v>
      </c>
      <c r="B5" s="31">
        <v>51.68012231202582</v>
      </c>
      <c r="C5" s="31">
        <v>56.27699847677258</v>
      </c>
      <c r="D5" s="31">
        <v>62.27235254123539</v>
      </c>
      <c r="E5" s="31">
        <v>70.43452266729767</v>
      </c>
      <c r="F5" s="31">
        <v>82.22087774223371</v>
      </c>
    </row>
    <row r="6" spans="1:6" x14ac:dyDescent="0.25">
      <c r="A6" s="30">
        <v>0.067302</v>
      </c>
      <c r="B6" s="31">
        <v>40.7027718601138</v>
      </c>
      <c r="C6" s="31">
        <v>43.23805058837783</v>
      </c>
      <c r="D6" s="31">
        <v>46.35464078799644</v>
      </c>
      <c r="E6" s="31">
        <v>50.28630129416131</v>
      </c>
      <c r="F6" s="31">
        <v>55.41152429305885</v>
      </c>
    </row>
    <row r="7" spans="1:6" x14ac:dyDescent="0.25">
      <c r="A7" s="30">
        <v>0.077302</v>
      </c>
      <c r="B7" s="31">
        <v>33.295842233000336</v>
      </c>
      <c r="C7" s="31">
        <v>34.7977670535966</v>
      </c>
      <c r="D7" s="32">
        <v>36.57288260070893</v>
      </c>
      <c r="E7" s="31">
        <v>38.70782074820612</v>
      </c>
      <c r="F7" s="31">
        <v>41.33017213023719</v>
      </c>
    </row>
    <row r="8" spans="1:6" x14ac:dyDescent="0.25">
      <c r="A8" s="30">
        <v>0.087302</v>
      </c>
      <c r="B8" s="31">
        <v>27.975538737172165</v>
      </c>
      <c r="C8" s="31">
        <v>28.90391880123242</v>
      </c>
      <c r="D8" s="31">
        <v>29.970059086992972</v>
      </c>
      <c r="E8" s="31">
        <v>31.2100212210202</v>
      </c>
      <c r="F8" s="31">
        <v>32.67365659951308</v>
      </c>
    </row>
    <row r="9" spans="1:6" x14ac:dyDescent="0.25">
      <c r="A9" s="30">
        <v>0.097302</v>
      </c>
      <c r="B9" s="31">
        <v>23.979349859522053</v>
      </c>
      <c r="C9" s="31">
        <v>24.566342276842512</v>
      </c>
      <c r="D9" s="31">
        <v>25.225215917333443</v>
      </c>
      <c r="E9" s="31">
        <v>25.97199137990065</v>
      </c>
      <c r="F9" s="31">
        <v>26.827832147757245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3950900000</v>
      </c>
      <c r="C5" s="18">
        <v>3675600000</v>
      </c>
      <c r="D5" s="18">
        <v>3580200000</v>
      </c>
      <c r="E5" s="18">
        <v>2849700000</v>
      </c>
      <c r="F5" s="8" t="s">
        <v>84</v>
      </c>
    </row>
    <row r="6" spans="1:6" x14ac:dyDescent="0.25">
      <c r="A6" t="s">
        <v>44</v>
      </c>
      <c r="B6" s="18">
        <v>732700000</v>
      </c>
      <c r="C6" s="18">
        <v>685400000</v>
      </c>
      <c r="D6" s="18">
        <v>625900000</v>
      </c>
      <c r="E6" s="18">
        <v>275600000</v>
      </c>
      <c r="F6" s="8" t="s">
        <v>85</v>
      </c>
    </row>
    <row r="7" spans="1:6" x14ac:dyDescent="0.25">
      <c r="A7" t="s">
        <v>86</v>
      </c>
      <c r="B7" s="18">
        <v>65800000</v>
      </c>
      <c r="C7" s="18">
        <v>60700000</v>
      </c>
      <c r="D7" s="18">
        <v>77100000</v>
      </c>
      <c r="E7" s="18">
        <v>60000000</v>
      </c>
      <c r="F7" s="8" t="s">
        <v>87</v>
      </c>
    </row>
    <row r="8" spans="1:6" x14ac:dyDescent="0.25">
      <c r="A8" t="s">
        <v>88</v>
      </c>
      <c r="B8" s="18">
        <v>46400000</v>
      </c>
      <c r="C8" s="18">
        <v>39100000</v>
      </c>
      <c r="D8" s="18">
        <v>43700000</v>
      </c>
      <c r="E8" s="18">
        <v>82800000</v>
      </c>
      <c r="F8" s="8" t="s">
        <v>89</v>
      </c>
    </row>
    <row r="9" spans="1:6" x14ac:dyDescent="0.25">
      <c r="A9" t="s">
        <v>90</v>
      </c>
      <c r="B9" s="18">
        <v>599300000</v>
      </c>
      <c r="C9" s="18">
        <v>588300000</v>
      </c>
      <c r="D9" s="18">
        <v>316200000</v>
      </c>
      <c r="E9" s="18">
        <v>175000000</v>
      </c>
      <c r="F9" s="8" t="s">
        <v>91</v>
      </c>
    </row>
    <row r="10" spans="1:6" x14ac:dyDescent="0.25">
      <c r="A10" t="s">
        <v>92</v>
      </c>
      <c r="B10" s="18">
        <v>902000000</v>
      </c>
      <c r="C10" s="18">
        <v>743000000</v>
      </c>
      <c r="D10" s="18">
        <v>754200000</v>
      </c>
      <c r="E10" s="18">
        <v>715800000</v>
      </c>
      <c r="F10" s="8" t="s">
        <v>93</v>
      </c>
    </row>
    <row r="11" spans="1:6" x14ac:dyDescent="0.25">
      <c r="A11" t="s">
        <v>94</v>
      </c>
      <c r="B11" s="18">
        <v>878000000</v>
      </c>
      <c r="C11" s="18">
        <v>1227000000</v>
      </c>
      <c r="D11" s="18">
        <v>1437000000</v>
      </c>
      <c r="E11" s="18">
        <v>1350900000</v>
      </c>
      <c r="F11" s="8" t="s">
        <v>95</v>
      </c>
    </row>
    <row r="12" spans="1:6" x14ac:dyDescent="0.25">
      <c r="A12" t="s">
        <v>32</v>
      </c>
      <c r="B12" s="34">
        <v>345289000</v>
      </c>
      <c r="C12" s="34">
        <v>352114000</v>
      </c>
      <c r="D12" s="34">
        <v>353383000</v>
      </c>
      <c r="E12" s="34">
        <v>344130000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2026-09-19T00:07:17Z</dcterms:modified>
</cp:coreProperties>
</file>