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<sst xmlns="http://schemas.openxmlformats.org/spreadsheetml/2006/main" count="120" uniqueCount="107">
  <si>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The Hershey Company (HSY)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</si>
  <si>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</si>
  <si>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</si>
  <si>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</si>
  <si>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</si>
  <si>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</si>
  <si>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</si>
  <si>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</si>
  <si>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</si>
  <si>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</si>
  <si>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</si>
  <si>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</si>
  <si>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</si>
  <si>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</si>
  <si>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</si>
  <si>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</si>
  <si>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</si>
  <si>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</si>
  <si>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</si>
  <si>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</si>
  <si>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</si>
  <si>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</si>
  <si>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</si>
  <si>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</si>
  <si>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6.5x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</si>
  <si>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</si>
  <si>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</si>
  <si>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</si>
  <si>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</si>
  <si>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</si>
  <si>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</si>
  <si>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</si>
  <si>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</si>
  <si>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</si>
  <si>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</si>
  <si>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</si>
  <si>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</si>
  <si>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</si>
  <si>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</si>
  <si>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</si>
  <si>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</si>
  <si>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</si>
  <si>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</si>
  <si>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</si>
  <si>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</si>
  <si>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</si>
  <si>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</si>
  <si>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</si>
  <si>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</si>
  <si>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</si>
  <si>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</si>
  <si>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</si>
  <si>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</si>
  <si>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</si>
  <si>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</si>
  <si>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</si>
  <si>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</si>
  <si>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</si>
  <si>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</si>
  <si>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</si>
  <si>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</si>
  <si>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</si>
  <si>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</si>
  <si>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</si>
  <si>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</si>
  <si>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</si>
  <si>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</si>
  <si>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</si>
  <si>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</si>
  <si>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</si>
  <si>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</si>
  <si>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</si>
  <si>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</si>
  <si>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</si>
  <si>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</si>
  <si>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</si>
  <si>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</si>
  <si>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</si>
  <si>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</si>
  <si>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</si>
  <si>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</si>
  <si>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</si>
  <si>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</si>
  <si>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</si>
  <si>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</si>
  <si>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</si>
  <si>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</si>
  <si>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</si>
  <si>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</si>
  <si>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</si>
  <si>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</si>
  <si>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</si>
  <si>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</si>
  <si>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</si>
  <si>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</si>
  <si>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</si>
  <si>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</si>
  <si>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</si>
  <si>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</si>
  <si>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</si>
  <si>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</si>
  <si>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</si>
  <si>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</si>
  <si>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</si>
  <si>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</si>
  <si>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5.5% of revenue against depreciation of 3.9%.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</si>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</sst>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0.050981700696236754</v>
      </c>
    </row>
    <row r="7" spans="1:2" x14ac:dyDescent="0.25">
      <c r="A7" t="s">
        <v>4</v>
      </c>
      <c r="B7" s="5">
        <v>0.20823358860095842</v>
      </c>
    </row>
    <row r="8" spans="1:2" x14ac:dyDescent="0.25">
      <c r="A8" t="s">
        <v>5</v>
      </c>
      <c r="B8" s="5">
        <v>0.14239279769009638</v>
      </c>
    </row>
    <row r="9" spans="1:2" x14ac:dyDescent="0.25">
      <c r="A9" t="s">
        <v>6</v>
      </c>
      <c r="B9" s="5">
        <v>0.039422540322128066</v>
      </c>
    </row>
    <row r="10" spans="1:3" x14ac:dyDescent="0.25">
      <c r="A10" t="s">
        <v>7</v>
      </c>
      <c r="B10" s="5">
        <v>0.05454727976015005</v>
      </c>
      <c r="C10" s="6" t="s">
        <v>8</v>
      </c>
    </row>
    <row r="11" spans="1:2" x14ac:dyDescent="0.25">
      <c r="A11" t="s">
        <v>9</v>
      </c>
      <c r="B11" s="5">
        <v>0.11241049878729822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19.379709282066596</v>
      </c>
    </row>
    <row r="14" spans="1:3" x14ac:dyDescent="0.25">
      <c r="A14" t="s">
        <v>12</v>
      </c>
      <c r="B14" s="5">
        <v>0.2453102781952617</v>
      </c>
      <c r="C14" s="6" t="s">
        <v>13</v>
      </c>
    </row>
    <row r="15" spans="1:3" x14ac:dyDescent="0.25">
      <c r="A15" t="s">
        <v>14</v>
      </c>
      <c r="B15" s="5">
        <v>0.039422540322128066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0.38963</v>
      </c>
      <c r="C19" s="6" t="s">
        <v>21</v>
      </c>
    </row>
    <row r="20" spans="1:2" x14ac:dyDescent="0.25">
      <c r="A20" t="s">
        <v>22</v>
      </c>
      <c r="B20" s="9">
        <f>B17+B19*B18</f>
        <v>0.065421349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33284362240</v>
      </c>
    </row>
    <row r="23" spans="1:2" x14ac:dyDescent="0.25">
      <c r="A23" t="s">
        <v>26</v>
      </c>
      <c r="B23" s="10">
        <v>5738575000</v>
      </c>
    </row>
    <row r="24" spans="1:2" x14ac:dyDescent="0.25">
      <c r="A24" t="s">
        <v>27</v>
      </c>
      <c r="B24" s="9">
        <f>B22/(B22+B23)</f>
        <v>0.852943540238746</v>
      </c>
    </row>
    <row r="25" spans="1:2" x14ac:dyDescent="0.25">
      <c r="A25" t="s">
        <v>28</v>
      </c>
      <c r="B25" s="9">
        <f>1-B24</f>
        <v>0.14705645976125403</v>
      </c>
    </row>
    <row r="26" spans="1:2" x14ac:dyDescent="0.25">
      <c r="A26" t="s">
        <v>29</v>
      </c>
      <c r="B26" s="11">
        <f>B24*B20+B25*B21*(1-B8)</f>
        <v>0.06266650903005322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11692576000</v>
      </c>
      <c r="C29" s="6" t="s">
        <v>32</v>
      </c>
    </row>
    <row r="30" spans="1:2" x14ac:dyDescent="0.25">
      <c r="A30" t="s">
        <v>33</v>
      </c>
      <c r="B30" s="10">
        <v>4812716000</v>
      </c>
    </row>
    <row r="31" spans="1:2" x14ac:dyDescent="0.25">
      <c r="A31" t="s">
        <v>34</v>
      </c>
      <c r="B31" s="12">
        <v>203379000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0.050981700696236754</v>
      </c>
      <c r="C5" s="5">
        <v>0.02146963927684098</v>
      </c>
      <c r="D5" s="5">
        <v>0.021910934367235856</v>
      </c>
      <c r="E5" s="5">
        <v>0.022352229457630733</v>
      </c>
      <c r="F5" s="5">
        <v>0.022793524548025614</v>
      </c>
      <c r="G5" s="5">
        <v>0.02323481963842049</v>
      </c>
      <c r="H5" s="5">
        <v>0.023676114728815367</v>
      </c>
      <c r="I5" s="5">
        <v>0.024117409819210248</v>
      </c>
      <c r="J5" s="5">
        <v>0.024558704909605125</v>
      </c>
      <c r="K5" s="5">
        <v>0.025</v>
      </c>
    </row>
    <row r="6" spans="1:11" x14ac:dyDescent="0.25">
      <c r="A6" t="s">
        <v>50</v>
      </c>
      <c r="B6" s="18">
        <f>Assumptions!B29*(1+B5)</f>
        <v>12288683410.000002</v>
      </c>
      <c r="C6" s="18">
        <f>B6*(1+C5)</f>
        <v>12552517010.000002</v>
      </c>
      <c r="D6" s="18">
        <f>C6*(1+D5)</f>
        <v>12827554386.349724</v>
      </c>
      <c r="E6" s="18">
        <f>D6*(1+E5)</f>
        <v>13114278825.373652</v>
      </c>
      <c r="F6" s="18">
        <f>E6*(1+F5)</f>
        <v>13413199461.709457</v>
      </c>
      <c r="G6" s="18">
        <f>F6*(1+G5)</f>
        <v>13724852731.976435</v>
      </c>
      <c r="H6" s="18">
        <f>G6*(1+H5)</f>
        <v>14049803919.894804</v>
      </c>
      <c r="I6" s="18">
        <f>H6*(1+I5)</f>
        <v>14388648798.910454</v>
      </c>
      <c r="J6" s="18">
        <f>I6*(1+J5)</f>
        <v>14742015378.81084</v>
      </c>
      <c r="K6" s="18">
        <f>J6*(1+K5)</f>
        <v>15110565763.28111</v>
      </c>
    </row>
    <row r="7" spans="1:11" x14ac:dyDescent="0.25">
      <c r="A7" t="s">
        <v>4</v>
      </c>
      <c r="B7" s="9">
        <f>Assumptions!B7</f>
        <v>0.20823358860095842</v>
      </c>
      <c r="C7" s="9">
        <f>Assumptions!B7</f>
        <v>0.20823358860095842</v>
      </c>
      <c r="D7" s="9">
        <f>Assumptions!B7</f>
        <v>0.20823358860095842</v>
      </c>
      <c r="E7" s="9">
        <f>Assumptions!B7</f>
        <v>0.20823358860095842</v>
      </c>
      <c r="F7" s="9">
        <f>Assumptions!B7</f>
        <v>0.20823358860095842</v>
      </c>
      <c r="G7" s="9">
        <f>Assumptions!B7</f>
        <v>0.20823358860095842</v>
      </c>
      <c r="H7" s="9">
        <f>Assumptions!B7</f>
        <v>0.20823358860095842</v>
      </c>
      <c r="I7" s="9">
        <f>Assumptions!B7</f>
        <v>0.20823358860095842</v>
      </c>
      <c r="J7" s="9">
        <f>Assumptions!B7</f>
        <v>0.20823358860095842</v>
      </c>
      <c r="K7" s="9">
        <f>Assumptions!B7</f>
        <v>0.20823358860095842</v>
      </c>
    </row>
    <row r="8" spans="1:11" x14ac:dyDescent="0.25">
      <c r="A8" t="s">
        <v>51</v>
      </c>
      <c r="B8" s="18">
        <f>B6*B7</f>
        <v>2558916645.6453633</v>
      </c>
      <c r="C8" s="18">
        <f>C6*C7</f>
        <v>2613855662.966873</v>
      </c>
      <c r="D8" s="18">
        <f>D6*D7</f>
        <v>2671127682.843568</v>
      </c>
      <c r="E8" s="18">
        <f>E6*E7</f>
        <v>2730833341.721117</v>
      </c>
      <c r="F8" s="18">
        <f>F6*F7</f>
        <v>2793078658.532204</v>
      </c>
      <c r="G8" s="18">
        <f>G6*G7</f>
        <v>2857975337.3991213</v>
      </c>
      <c r="H8" s="18">
        <f>H6*H7</f>
        <v>2925641089.3795075</v>
      </c>
      <c r="I8" s="18">
        <f>I6*I7</f>
        <v>2996199974.515994</v>
      </c>
      <c r="J8" s="18">
        <f>J6*J7</f>
        <v>3069782765.540299</v>
      </c>
      <c r="K8" s="18">
        <f>K6*K7</f>
        <v>3146527334.678806</v>
      </c>
    </row>
    <row r="9" spans="1:11" x14ac:dyDescent="0.25">
      <c r="A9" t="s">
        <v>52</v>
      </c>
      <c r="B9" s="18">
        <f>B8*(1-Assumptions!B8)</f>
        <v>2194545345.416163</v>
      </c>
      <c r="C9" s="18">
        <f>C8*(1-Assumptions!B8)</f>
        <v>2241661442.3589187</v>
      </c>
      <c r="D9" s="18">
        <f>D8*(1-Assumptions!B8)</f>
        <v>2290778339.096008</v>
      </c>
      <c r="E9" s="18">
        <f>E8*(1-Assumptions!B8)</f>
        <v>2341982342.168052</v>
      </c>
      <c r="F9" s="18">
        <f>F8*(1-Assumptions!B8)</f>
        <v>2395364374.175302</v>
      </c>
      <c r="G9" s="18">
        <f>G8*(1-Assumptions!B8)</f>
        <v>2451020233.3775635</v>
      </c>
      <c r="H9" s="18">
        <f>H8*(1-Assumptions!B8)</f>
        <v>2509050869.625658</v>
      </c>
      <c r="I9" s="18">
        <f>I8*(1-Assumptions!B8)</f>
        <v>2569562677.705666</v>
      </c>
      <c r="J9" s="18">
        <f>J8*(1-Assumptions!B8)</f>
        <v>2632667809.2541747</v>
      </c>
      <c r="K9" s="18">
        <f>K8*(1-Assumptions!B8)</f>
        <v>2698484504.4855285</v>
      </c>
    </row>
    <row r="10" spans="1:11" x14ac:dyDescent="0.25">
      <c r="A10" t="s">
        <v>53</v>
      </c>
      <c r="B10" s="18">
        <f>B6*Assumptions!B9</f>
        <v>484451117.2365913</v>
      </c>
      <c r="C10" s="18">
        <f>C6*Assumptions!B9</f>
        <v>494852107.9709235</v>
      </c>
      <c r="D10" s="18">
        <f>D6*Assumptions!B9</f>
        <v>505694780.03016275</v>
      </c>
      <c r="E10" s="18">
        <f>E6*Assumptions!B9</f>
        <v>516998185.7889231</v>
      </c>
      <c r="F10" s="18">
        <f>F6*Assumptions!B9</f>
        <v>528782396.62798756</v>
      </c>
      <c r="G10" s="18">
        <f>G6*Assumptions!B9</f>
        <v>541068560.2416105</v>
      </c>
      <c r="H10" s="18">
        <f>H6*Assumptions!B9</f>
        <v>553878961.5500458</v>
      </c>
      <c r="I10" s="18">
        <f>I6*Assumptions!B9</f>
        <v>567237087.455987</v>
      </c>
      <c r="J10" s="18">
        <f>J6*Assumptions!B9</f>
        <v>581167695.7006024</v>
      </c>
      <c r="K10" s="18">
        <f>K6*Assumptions!B9</f>
        <v>595696888.0931175</v>
      </c>
    </row>
    <row r="11" spans="1:11" x14ac:dyDescent="0.25">
      <c r="A11" t="s">
        <v>54</v>
      </c>
      <c r="B11" s="18">
        <f>-B6*B19</f>
        <v>-670314251.8491849</v>
      </c>
      <c r="C11" s="18">
        <f>-C6*C19</f>
        <v>-688994334.1242126</v>
      </c>
      <c r="D11" s="18">
        <f>-D6*D19</f>
        <v>-708473489.7664529</v>
      </c>
      <c r="E11" s="18">
        <f>-E6*E19</f>
        <v>-728790059.6914074</v>
      </c>
      <c r="F11" s="18">
        <f>-F6*F19</f>
        <v>-749984490.570934</v>
      </c>
      <c r="G11" s="18">
        <f>-G6*G19</f>
        <v>-772099460.7667084</v>
      </c>
      <c r="H11" s="18">
        <f>-H6*H19</f>
        <v>-795180014.419502</v>
      </c>
      <c r="I11" s="18">
        <f>-I6*I19</f>
        <v>-819273704.2577338</v>
      </c>
      <c r="J11" s="18">
        <f>-J6*J19</f>
        <v>-844430743.7299943</v>
      </c>
      <c r="K11" s="18">
        <f>-K6*K19</f>
        <v>-870704169.1106696</v>
      </c>
    </row>
    <row r="12" spans="1:11" x14ac:dyDescent="0.25">
      <c r="A12" t="s">
        <v>55</v>
      </c>
      <c r="B12" s="18">
        <f>-(B6-Assumptions!B29)*Assumptions!B11</f>
        <v>-67008731.2889047</v>
      </c>
      <c r="C12" s="18">
        <f>-(C6-B6)*Assumptions!B11</f>
        <v>-29657666.572848525</v>
      </c>
      <c r="D12" s="18">
        <f>-(D6-C6)*Assumptions!B11</f>
        <v>-30917088.6606221</v>
      </c>
      <c r="E12" s="18">
        <f>-(E6-D6)*Assumptions!B11</f>
        <v>-32230837.205187988</v>
      </c>
      <c r="F12" s="18">
        <f>-(F6-E6)*Assumptions!B11</f>
        <v>-33601817.82832452</v>
      </c>
      <c r="G12" s="18">
        <f>-(G6-F6)*Assumptions!B11</f>
        <v>-35033099.559403576</v>
      </c>
      <c r="H12" s="18">
        <f>-(H6-G6)*Assumptions!B11</f>
        <v>-36527925.11542897</v>
      </c>
      <c r="I12" s="18">
        <f>-(I6-H6)*Assumptions!B11</f>
        <v>-38089721.86167091</v>
      </c>
      <c r="J12" s="18">
        <f>-(J6-I6)*Assumptions!B11</f>
        <v>-39722113.50136415</v>
      </c>
      <c r="K12" s="18">
        <f>-(K6-J6)*Assumptions!B11</f>
        <v>-41428932.5465536</v>
      </c>
    </row>
    <row r="13" spans="1:11" x14ac:dyDescent="0.25">
      <c r="A13" s="19" t="s">
        <v>56</v>
      </c>
      <c r="B13" s="20">
        <f>B9+B10+B11+B12</f>
        <v>1941673479.5146646</v>
      </c>
      <c r="C13" s="20">
        <f>C9+C10+C11+C12</f>
        <v>2017861549.6327808</v>
      </c>
      <c r="D13" s="20">
        <f>D9+D10+D11+D12</f>
        <v>2057082540.6990957</v>
      </c>
      <c r="E13" s="20">
        <f>E9+E10+E11+E12</f>
        <v>2097959631.06038</v>
      </c>
      <c r="F13" s="20">
        <f>F9+F10+F11+F12</f>
        <v>2140560462.4040306</v>
      </c>
      <c r="G13" s="20">
        <f>G9+G10+G11+G12</f>
        <v>2184956233.293062</v>
      </c>
      <c r="H13" s="20">
        <f>H9+H10+H11+H12</f>
        <v>2231221891.640773</v>
      </c>
      <c r="I13" s="20">
        <f>I9+I10+I11+I12</f>
        <v>2279436339.0422482</v>
      </c>
      <c r="J13" s="20">
        <f>J9+J10+J11+J12</f>
        <v>2329682647.7234187</v>
      </c>
      <c r="K13" s="20">
        <f>K9+K10+K11+K12</f>
        <v>2382048290.9214225</v>
      </c>
    </row>
    <row r="14" spans="1:11" x14ac:dyDescent="0.25">
      <c r="A14" t="s">
        <v>57</v>
      </c>
      <c r="B14" s="21">
        <f>1/(1+Assumptions!$B$26)^(1-0.5*Assumptions!$B$32)</f>
        <v>0.9700664914381524</v>
      </c>
      <c r="C14" s="21">
        <f>1/(1+Assumptions!$B$26)^(2-0.5*Assumptions!$B$32)</f>
        <v>0.9128606982482007</v>
      </c>
      <c r="D14" s="21">
        <f>1/(1+Assumptions!$B$26)^(3-0.5*Assumptions!$B$32)</f>
        <v>0.85902838801367</v>
      </c>
      <c r="E14" s="21">
        <f>1/(1+Assumptions!$B$26)^(4-0.5*Assumptions!$B$32)</f>
        <v>0.8083706230638117</v>
      </c>
      <c r="F14" s="21">
        <f>1/(1+Assumptions!$B$26)^(5-0.5*Assumptions!$B$32)</f>
        <v>0.7607001972816951</v>
      </c>
      <c r="G14" s="21">
        <f>1/(1+Assumptions!$B$26)^(6-0.5*Assumptions!$B$32)</f>
        <v>0.71584094428272</v>
      </c>
      <c r="H14" s="21">
        <f>1/(1+Assumptions!$B$26)^(7-0.5*Assumptions!$B$32)</f>
        <v>0.6736270863905388</v>
      </c>
      <c r="I14" s="21">
        <f>1/(1+Assumptions!$B$26)^(8-0.5*Assumptions!$B$32)</f>
        <v>0.6339026220045182</v>
      </c>
      <c r="J14" s="21">
        <f>1/(1+Assumptions!$B$26)^(9-0.5*Assumptions!$B$32)</f>
        <v>0.5965207490947574</v>
      </c>
      <c r="K14" s="21">
        <f>1/(1+Assumptions!$B$26)^(10-0.5*Assumptions!$B$32)</f>
        <v>0.5613433226941823</v>
      </c>
    </row>
    <row r="15" spans="1:11" x14ac:dyDescent="0.25">
      <c r="A15" s="19" t="s">
        <v>58</v>
      </c>
      <c r="B15" s="20">
        <f>B13*B14</f>
        <v>1883552379.7913</v>
      </c>
      <c r="C15" s="20">
        <f>C13*C14</f>
        <v>1842026503.1659765</v>
      </c>
      <c r="D15" s="20">
        <f>D13*D14</f>
        <v>1767092298.947809</v>
      </c>
      <c r="E15" s="20">
        <f>E13*E14</f>
        <v>1695928934.123004</v>
      </c>
      <c r="F15" s="20">
        <f>F13*F14</f>
        <v>1628324766.0441427</v>
      </c>
      <c r="G15" s="20">
        <f>G13*G14</f>
        <v>1564081133.2569208</v>
      </c>
      <c r="H15" s="20">
        <f>H13*H14</f>
        <v>1503011501.9567604</v>
      </c>
      <c r="I15" s="20">
        <f>I13*I14</f>
        <v>1444940672.011261</v>
      </c>
      <c r="J15" s="20">
        <f>J13*J14</f>
        <v>1389704038.1730316</v>
      </c>
      <c r="K15" s="20">
        <f>K13*K14</f>
        <v>1337146902.4438295</v>
      </c>
    </row>
    <row r="17" spans="1:2" x14ac:dyDescent="0.25">
      <c r="A17" s="22" t="s">
        <v>59</v>
      </c>
      <c r="B17" s="23">
        <f>SUM(B15:K15)</f>
        <v>16055809129.914032</v>
      </c>
    </row>
    <row r="19" spans="1:11" x14ac:dyDescent="0.25">
      <c r="A19" t="s">
        <v>7</v>
      </c>
      <c r="B19" s="9">
        <f>Assumptions!$B$10+($B$20-Assumptions!$B$10)*0/9</f>
        <v>0.05454727976015005</v>
      </c>
      <c r="C19" s="9">
        <f>Assumptions!$B$10+($B$20-Assumptions!$B$10)*1/9</f>
        <v>0.05488893849538886</v>
      </c>
      <c r="D19" s="9">
        <f>Assumptions!$B$10+($B$20-Assumptions!$B$10)*2/9</f>
        <v>0.055230597230627676</v>
      </c>
      <c r="E19" s="9">
        <f>Assumptions!$B$10+($B$20-Assumptions!$B$10)*3/9</f>
        <v>0.055572255965866485</v>
      </c>
      <c r="F19" s="9">
        <f>Assumptions!$B$10+($B$20-Assumptions!$B$10)*4/9</f>
        <v>0.055913914701105294</v>
      </c>
      <c r="G19" s="9">
        <f>Assumptions!$B$10+($B$20-Assumptions!$B$10)*5/9</f>
        <v>0.05625557343634411</v>
      </c>
      <c r="H19" s="9">
        <f>Assumptions!$B$10+($B$20-Assumptions!$B$10)*6/9</f>
        <v>0.05659723217158292</v>
      </c>
      <c r="I19" s="9">
        <f>Assumptions!$B$10+($B$20-Assumptions!$B$10)*7/9</f>
        <v>0.05693889090682173</v>
      </c>
      <c r="J19" s="9">
        <f>Assumptions!$B$10+($B$20-Assumptions!$B$10)*8/9</f>
        <v>0.057280549642060544</v>
      </c>
      <c r="K19" s="9">
        <f>Assumptions!$B$10+($B$20-Assumptions!$B$10)*9/9</f>
        <v>0.05762220837729935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0.05762220837729935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2382048290.9214225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2698484504.4855285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0.10191175104412274</v>
      </c>
    </row>
    <row r="7" spans="1:2" x14ac:dyDescent="0.25">
      <c r="A7" t="s">
        <v>66</v>
      </c>
      <c r="B7" s="18">
        <f>-MAX(B5,0)*B6</f>
        <v>-275007281.0175521</v>
      </c>
    </row>
    <row r="8" spans="1:2" x14ac:dyDescent="0.25">
      <c r="A8" t="s">
        <v>67</v>
      </c>
      <c r="B8" s="18">
        <f>IF(OR(Assumptions!$B$33=0,Assumptions!B12&lt;=0),B5,MAX(B5+B7,0))</f>
        <v>2423477223.4679766</v>
      </c>
    </row>
    <row r="9" spans="1:2" x14ac:dyDescent="0.25">
      <c r="A9" t="s">
        <v>68</v>
      </c>
      <c r="B9" s="18">
        <f>B8*(1+Assumptions!B12)/(Assumptions!B26-Assumptions!B12)</f>
        <v>65948881858.754135</v>
      </c>
    </row>
    <row r="10" spans="1:2" x14ac:dyDescent="0.25">
      <c r="A10" t="s">
        <v>69</v>
      </c>
      <c r="B10" s="18">
        <f>B9/(1+Assumptions!B26)^(10-0.5*Assumptions!B32)</f>
        <v>37019964470.55913</v>
      </c>
    </row>
    <row r="11" spans="1:2" x14ac:dyDescent="0.25">
      <c r="A11" t="s">
        <v>70</v>
      </c>
      <c r="B11" s="18">
        <f>Forecast!B17+B10</f>
        <v>53075773600.47316</v>
      </c>
    </row>
    <row r="12" spans="1:2" x14ac:dyDescent="0.25">
      <c r="A12" t="s">
        <v>71</v>
      </c>
      <c r="B12" s="18">
        <f>-Assumptions!B30</f>
        <v>-4812716000</v>
      </c>
    </row>
    <row r="13" spans="1:2" x14ac:dyDescent="0.25">
      <c r="A13" t="s">
        <v>72</v>
      </c>
      <c r="B13" s="18">
        <f>B11+B12</f>
        <v>48263057600.47316</v>
      </c>
    </row>
    <row r="14" spans="1:2" x14ac:dyDescent="0.25">
      <c r="A14" s="19" t="s">
        <v>73</v>
      </c>
      <c r="B14" s="24">
        <f>B13/Assumptions!B31</f>
        <v>237.30600308032373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3742224222.771923</v>
      </c>
    </row>
    <row r="18" spans="1:2" x14ac:dyDescent="0.25">
      <c r="A18" t="s">
        <v>68</v>
      </c>
      <c r="B18" s="18">
        <f>B17*Assumptions!B13</f>
        <v>72523217505.62749</v>
      </c>
    </row>
    <row r="19" spans="1:2" x14ac:dyDescent="0.25">
      <c r="A19" t="s">
        <v>69</v>
      </c>
      <c r="B19" s="18">
        <f>B18/(1+Assumptions!B26)^(10-0.5*Assumptions!B32)</f>
        <v>40710423887.08182</v>
      </c>
    </row>
    <row r="20" spans="1:2" x14ac:dyDescent="0.25">
      <c r="A20" t="s">
        <v>70</v>
      </c>
      <c r="B20" s="18">
        <f>Forecast!B17+B19</f>
        <v>56766233016.99585</v>
      </c>
    </row>
    <row r="21" spans="1:2" x14ac:dyDescent="0.25">
      <c r="A21" t="s">
        <v>71</v>
      </c>
      <c r="B21" s="18">
        <f>-Assumptions!B30</f>
        <v>-4812716000</v>
      </c>
    </row>
    <row r="22" spans="1:2" x14ac:dyDescent="0.25">
      <c r="A22" t="s">
        <v>72</v>
      </c>
      <c r="B22" s="18">
        <f>B20+B21</f>
        <v>51953517016.99585</v>
      </c>
    </row>
    <row r="23" spans="1:2" x14ac:dyDescent="0.25">
      <c r="A23" s="19" t="s">
        <v>73</v>
      </c>
      <c r="B23" s="25">
        <f>B22/Assumptions!B31</f>
        <v>255.45172813808628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165.61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237.30600308032373</v>
      </c>
    </row>
    <row r="29" spans="1:2" x14ac:dyDescent="0.25">
      <c r="A29" s="19" t="s">
        <v>81</v>
      </c>
      <c r="B29" s="11">
        <f>B28/B26-1</f>
        <v>0.43292073594785174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0.042667</v>
      </c>
      <c r="B5" s="31">
        <v>371.9340054356288</v>
      </c>
      <c r="C5" s="31">
        <v>432.42569663537756</v>
      </c>
      <c r="D5" s="31">
        <v>527.5945473904774</v>
      </c>
      <c r="E5" s="31">
        <v>698.50453443814</v>
      </c>
      <c r="F5" s="31">
        <v>1093.3383947535126</v>
      </c>
    </row>
    <row r="6" spans="1:6" x14ac:dyDescent="0.25">
      <c r="A6" s="30">
        <v>0.052667</v>
      </c>
      <c r="B6" s="31">
        <v>266.80669529381413</v>
      </c>
      <c r="C6" s="31">
        <v>293.44797107985823</v>
      </c>
      <c r="D6" s="31">
        <v>329.98197361866477</v>
      </c>
      <c r="E6" s="31">
        <v>382.9552640471921</v>
      </c>
      <c r="F6" s="31">
        <v>466.3254649581735</v>
      </c>
    </row>
    <row r="7" spans="1:6" x14ac:dyDescent="0.25">
      <c r="A7" s="30">
        <v>0.062667</v>
      </c>
      <c r="B7" s="31">
        <v>205.85902745098903</v>
      </c>
      <c r="C7" s="31">
        <v>219.65777607599784</v>
      </c>
      <c r="D7" s="32">
        <v>237.30266093398097</v>
      </c>
      <c r="E7" s="31">
        <v>260.5597469679886</v>
      </c>
      <c r="F7" s="31">
        <v>292.47175719245536</v>
      </c>
    </row>
    <row r="8" spans="1:6" x14ac:dyDescent="0.25">
      <c r="A8" s="30">
        <v>0.072667</v>
      </c>
      <c r="B8" s="31">
        <v>166.10220254040877</v>
      </c>
      <c r="C8" s="31">
        <v>173.91969827939977</v>
      </c>
      <c r="D8" s="31">
        <v>183.51376340728248</v>
      </c>
      <c r="E8" s="31">
        <v>195.5089682203839</v>
      </c>
      <c r="F8" s="31">
        <v>210.8615103261132</v>
      </c>
    </row>
    <row r="9" spans="1:6" x14ac:dyDescent="0.25">
      <c r="A9" s="30">
        <v>0.082667</v>
      </c>
      <c r="B9" s="31">
        <v>138.13723818528157</v>
      </c>
      <c r="C9" s="31">
        <v>142.8019633316924</v>
      </c>
      <c r="D9" s="31">
        <v>148.38239090945592</v>
      </c>
      <c r="E9" s="31">
        <v>155.1393205933265</v>
      </c>
      <c r="F9" s="31">
        <v>163.4429777298039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11692576000</v>
      </c>
      <c r="C5" s="18">
        <v>11202263000</v>
      </c>
      <c r="D5" s="18">
        <v>11164992000</v>
      </c>
      <c r="E5" s="18">
        <v>10419294000</v>
      </c>
      <c r="F5" s="6" t="s">
        <v>91</v>
      </c>
    </row>
    <row r="6" spans="1:6" x14ac:dyDescent="0.25">
      <c r="A6" t="s">
        <v>51</v>
      </c>
      <c r="B6" s="18">
        <v>1462122000</v>
      </c>
      <c r="C6" s="18">
        <v>2927267000</v>
      </c>
      <c r="D6" s="18">
        <v>2561308000</v>
      </c>
      <c r="E6" s="18">
        <v>2262776000</v>
      </c>
      <c r="F6" s="6" t="s">
        <v>92</v>
      </c>
    </row>
    <row r="7" spans="1:6" x14ac:dyDescent="0.25">
      <c r="A7" t="s">
        <v>93</v>
      </c>
      <c r="B7" s="18">
        <v>503701000</v>
      </c>
      <c r="C7" s="18">
        <v>455255000</v>
      </c>
      <c r="D7" s="18">
        <v>419815000</v>
      </c>
      <c r="E7" s="18">
        <v>378959000</v>
      </c>
      <c r="F7" s="6" t="s">
        <v>94</v>
      </c>
    </row>
    <row r="8" spans="1:6" x14ac:dyDescent="0.25">
      <c r="A8" t="s">
        <v>95</v>
      </c>
      <c r="B8" s="18">
        <v>528219000</v>
      </c>
      <c r="C8" s="18">
        <v>605942000</v>
      </c>
      <c r="D8" s="18">
        <v>771109000</v>
      </c>
      <c r="E8" s="18">
        <v>519481000</v>
      </c>
      <c r="F8" s="6" t="s">
        <v>96</v>
      </c>
    </row>
    <row r="9" spans="1:6" x14ac:dyDescent="0.25">
      <c r="A9" t="s">
        <v>97</v>
      </c>
      <c r="B9" s="18">
        <v>-55763000</v>
      </c>
      <c r="C9" s="18">
        <v>53063000</v>
      </c>
      <c r="D9" s="18">
        <v>341856000</v>
      </c>
      <c r="E9" s="18">
        <v>29376000</v>
      </c>
      <c r="F9" s="6" t="s">
        <v>98</v>
      </c>
    </row>
    <row r="10" spans="1:6" x14ac:dyDescent="0.25">
      <c r="A10" t="s">
        <v>99</v>
      </c>
      <c r="B10" s="18">
        <v>5738575000</v>
      </c>
      <c r="C10" s="18">
        <v>5447554000</v>
      </c>
      <c r="D10" s="18">
        <v>5125612000</v>
      </c>
      <c r="E10" s="18">
        <v>5117981000</v>
      </c>
      <c r="F10" s="6" t="s">
        <v>100</v>
      </c>
    </row>
    <row r="11" spans="1:6" x14ac:dyDescent="0.25">
      <c r="A11" t="s">
        <v>101</v>
      </c>
      <c r="B11" s="18">
        <v>925859000</v>
      </c>
      <c r="C11" s="18">
        <v>730746000</v>
      </c>
      <c r="D11" s="18">
        <v>401902000</v>
      </c>
      <c r="E11" s="18">
        <v>463889000</v>
      </c>
      <c r="F11" s="6" t="s">
        <v>102</v>
      </c>
    </row>
    <row r="12" spans="1:6" x14ac:dyDescent="0.25">
      <c r="A12" t="s">
        <v>34</v>
      </c>
      <c r="B12" s="34">
        <v>203379000</v>
      </c>
      <c r="C12" s="34">
        <v>203487000</v>
      </c>
      <c r="D12" s="34">
        <v>205547000</v>
      </c>
      <c r="E12" s="34">
        <v>206575000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