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<sst xmlns="http://schemas.openxmlformats.org/spreadsheetml/2006/main" count="114" uniqueCount="102">
  <si>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HUB24 Limited (HUB.AX)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</si>
  <si>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</si>
  <si>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</si>
  <si>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</si>
  <si>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</si>
  <si>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</si>
  <si>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</si>
  <si>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</si>
  <si>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</si>
  <si>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</si>
  <si>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</si>
  <si>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</si>
  <si>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</si>
  <si>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</si>
  <si>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</si>
  <si>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</si>
  <si>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</si>
  <si>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</si>
  <si>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</si>
  <si>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</si>
  <si>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</si>
  <si>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</si>
  <si>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</si>
  <si>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</si>
  <si>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</si>
  <si>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</si>
  <si>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</si>
  <si>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</si>
  <si>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</si>
  <si>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</si>
  <si>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</si>
  <si>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</si>
  <si>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</si>
  <si>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</si>
  <si>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</si>
  <si>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</si>
  <si>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</si>
  <si>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</si>
  <si>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</si>
  <si>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</si>
  <si>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</si>
  <si>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</si>
  <si>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</si>
  <si>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</si>
  <si>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</si>
  <si>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</si>
  <si>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</si>
  <si>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</si>
  <si>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</si>
  <si>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</si>
  <si>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</si>
  <si>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</si>
  <si>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</si>
  <si>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</si>
  <si>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</si>
  <si>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</si>
  <si>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</si>
  <si>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</si>
  <si>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</si>
  <si>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</si>
  <si>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</si>
  <si>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</si>
  <si>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</si>
  <si>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</si>
  <si>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</si>
  <si>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</si>
  <si>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</si>
  <si>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</si>
  <si>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</si>
  <si>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</si>
  <si>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</si>
  <si>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</si>
  <si>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</si>
  <si>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</si>
  <si>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</si>
  <si>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</si>
  <si>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</si>
  <si>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</si>
  <si>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</si>
  <si>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</si>
  <si>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</si>
  <si>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</si>
  <si>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</si>
  <si>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</si>
  <si>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</si>
  <si>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</si>
  <si>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</si>
  <si>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</si>
  <si>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</si>
  <si>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</si>
  <si>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</si>
  <si>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</si>
  <si>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</si>
  <si>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</si>
  <si>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</si>
  <si>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</si>
  <si>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</si>
  <si>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</si>
  <si>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</si>
  <si>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Some line items were not reported and have been derived. Each one is labelled in the workings below.</t>
  </si>
  <si>
    <t>Current EV/EBITDA of 30.6x sits outside a defensible 3-20x band, so the exit multiple is capped at 20.0x.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</si>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</sst>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0.21114366833503784</v>
      </c>
    </row>
    <row r="7" spans="1:2" x14ac:dyDescent="0.25">
      <c r="A7" t="s">
        <v>5</v>
      </c>
      <c r="B7" s="6">
        <v>0.21896386528293194</v>
      </c>
    </row>
    <row r="8" spans="1:2" x14ac:dyDescent="0.25">
      <c r="A8" t="s">
        <v>6</v>
      </c>
      <c r="B8" s="6">
        <v>0.19820790005355676</v>
      </c>
    </row>
    <row r="9" spans="1:2" x14ac:dyDescent="0.25">
      <c r="A9" t="s">
        <v>7</v>
      </c>
      <c r="B9" s="6">
        <v>0.10686402256856896</v>
      </c>
    </row>
    <row r="10" spans="1:2" x14ac:dyDescent="0.25">
      <c r="A10" t="s">
        <v>8</v>
      </c>
      <c r="B10" s="6">
        <v>0.06181502904463909</v>
      </c>
    </row>
    <row r="11" spans="1:2" x14ac:dyDescent="0.25">
      <c r="A11" t="s">
        <v>9</v>
      </c>
      <c r="B11" s="6">
        <v>0.13076200475216887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0.11173647656567581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0.98526</v>
      </c>
      <c r="C19" s="8" t="s">
        <v>19</v>
      </c>
    </row>
    <row r="20" spans="1:2" x14ac:dyDescent="0.25">
      <c r="A20" t="s">
        <v>20</v>
      </c>
      <c r="B20" s="10">
        <f>B17+B19*B18</f>
        <v>0.11259559999999999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5742972416</v>
      </c>
    </row>
    <row r="23" spans="1:2" x14ac:dyDescent="0.25">
      <c r="A23" t="s">
        <v>24</v>
      </c>
      <c r="B23" s="11">
        <v>71655000</v>
      </c>
    </row>
    <row r="24" spans="1:2" x14ac:dyDescent="0.25">
      <c r="A24" t="s">
        <v>25</v>
      </c>
      <c r="B24" s="10">
        <f>B22/(B22+B23)</f>
        <v>0.9876767684541871</v>
      </c>
    </row>
    <row r="25" spans="1:2" x14ac:dyDescent="0.25">
      <c r="A25" t="s">
        <v>26</v>
      </c>
      <c r="B25" s="10">
        <f>1-B24</f>
        <v>0.01232323154581294</v>
      </c>
    </row>
    <row r="26" spans="1:2" x14ac:dyDescent="0.25">
      <c r="A26" t="s">
        <v>27</v>
      </c>
      <c r="B26" s="12">
        <f>B24*B20+B25*B21*(1-B8)</f>
        <v>0.11173647656567581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490884000</v>
      </c>
      <c r="C29" s="8" t="s">
        <v>30</v>
      </c>
    </row>
    <row r="30" spans="1:2" x14ac:dyDescent="0.25">
      <c r="A30" t="s">
        <v>31</v>
      </c>
      <c r="B30" s="11">
        <v>669000</v>
      </c>
    </row>
    <row r="31" spans="1:2" x14ac:dyDescent="0.25">
      <c r="A31" t="s">
        <v>32</v>
      </c>
      <c r="B31" s="13">
        <v>82328767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0.21114366833503784</v>
      </c>
      <c r="C5" s="10">
        <f>Assumptions!B6</f>
        <v>0.21114366833503784</v>
      </c>
      <c r="D5" s="10">
        <f>Assumptions!B6</f>
        <v>0.21114366833503784</v>
      </c>
      <c r="E5" s="10">
        <f>Assumptions!B6</f>
        <v>0.21114366833503784</v>
      </c>
      <c r="F5" s="10">
        <f>Assumptions!B6</f>
        <v>0.21114366833503784</v>
      </c>
    </row>
    <row r="6" spans="1:6" x14ac:dyDescent="0.25">
      <c r="A6" t="s">
        <v>43</v>
      </c>
      <c r="B6" s="18">
        <f>Assumptions!B29*(1+B5)</f>
        <v>594531048.4869767</v>
      </c>
      <c r="C6" s="18">
        <f>B6*(1+C5)</f>
        <v>720062515.0035932</v>
      </c>
      <c r="D6" s="18">
        <f>C6*(1+D5)</f>
        <v>872099155.8520051</v>
      </c>
      <c r="E6" s="18">
        <f>D6*(1+E5)</f>
        <v>1056237370.7704873</v>
      </c>
      <c r="F6" s="18">
        <f>E6*(1+F5)</f>
        <v>1279255203.8675234</v>
      </c>
    </row>
    <row r="7" spans="1:6" x14ac:dyDescent="0.25">
      <c r="A7" t="s">
        <v>5</v>
      </c>
      <c r="B7" s="10">
        <f>Assumptions!B7</f>
        <v>0.21896386528293194</v>
      </c>
      <c r="C7" s="10">
        <f>Assumptions!B7</f>
        <v>0.21896386528293194</v>
      </c>
      <c r="D7" s="10">
        <f>Assumptions!B7</f>
        <v>0.21896386528293194</v>
      </c>
      <c r="E7" s="10">
        <f>Assumptions!B7</f>
        <v>0.21896386528293194</v>
      </c>
      <c r="F7" s="10">
        <f>Assumptions!B7</f>
        <v>0.21896386528293194</v>
      </c>
    </row>
    <row r="8" spans="1:6" x14ac:dyDescent="0.25">
      <c r="A8" t="s">
        <v>44</v>
      </c>
      <c r="B8" s="18">
        <f>B6*B7</f>
        <v>130180816.40742265</v>
      </c>
      <c r="C8" s="18">
        <f>C6*C7</f>
        <v>157667671.53053594</v>
      </c>
      <c r="D8" s="18">
        <f>D6*D7</f>
        <v>190958202.0753371</v>
      </c>
      <c r="E8" s="18">
        <f>E6*E7</f>
        <v>231277817.3601872</v>
      </c>
      <c r="F8" s="18">
        <f>F6*F7</f>
        <v>280110664.122138</v>
      </c>
    </row>
    <row r="9" spans="1:6" x14ac:dyDescent="0.25">
      <c r="A9" t="s">
        <v>45</v>
      </c>
      <c r="B9" s="18">
        <f>B8*(1-Assumptions!B8)</f>
        <v>104377950.1600498</v>
      </c>
      <c r="C9" s="18">
        <f>C8*(1-Assumptions!B8)</f>
        <v>126416693.45013444</v>
      </c>
      <c r="D9" s="18">
        <f>D8*(1-Assumptions!B8)</f>
        <v>153108777.84398177</v>
      </c>
      <c r="E9" s="18">
        <f>E8*(1-Assumptions!B8)</f>
        <v>185436726.85225445</v>
      </c>
      <c r="F9" s="18">
        <f>F8*(1-Assumptions!B8)</f>
        <v>224590517.60388187</v>
      </c>
    </row>
    <row r="10" spans="1:6" x14ac:dyDescent="0.25">
      <c r="A10" t="s">
        <v>46</v>
      </c>
      <c r="B10" s="18">
        <f>B6*Assumptions!B9</f>
        <v>63533979.38322725</v>
      </c>
      <c r="C10" s="18">
        <f>C6*Assumptions!B9</f>
        <v>76948776.85412452</v>
      </c>
      <c r="D10" s="18">
        <f>D6*Assumptions!B9</f>
        <v>93196023.87299861</v>
      </c>
      <c r="E10" s="18">
        <f>E6*Assumptions!B9</f>
        <v>112873774.22778329</v>
      </c>
      <c r="F10" s="18">
        <f>F6*Assumptions!B9</f>
        <v>136706356.97705832</v>
      </c>
    </row>
    <row r="11" spans="1:6" x14ac:dyDescent="0.25">
      <c r="A11" t="s">
        <v>47</v>
      </c>
      <c r="B11" s="18">
        <f>-B6*Assumptions!B10</f>
        <v>-36750954.0301622</v>
      </c>
      <c r="C11" s="18">
        <f>-C6*Assumptions!B10</f>
        <v>-44510685.278902985</v>
      </c>
      <c r="D11" s="18">
        <f>-D6*Assumptions!B10</f>
        <v>-53908834.64879693</v>
      </c>
      <c r="E11" s="18">
        <f>-E6*Assumptions!B10</f>
        <v>-65291343.7522109</v>
      </c>
      <c r="F11" s="18">
        <f>-F6*Assumptions!B10</f>
        <v>-79077197.58257666</v>
      </c>
    </row>
    <row r="12" spans="1:6" x14ac:dyDescent="0.25">
      <c r="A12" t="s">
        <v>48</v>
      </c>
      <c r="B12" s="18">
        <f>-(B6-Assumptions!B29)*Assumptions!B11</f>
        <v>-13553095.84680233</v>
      </c>
      <c r="C12" s="18">
        <f>-(C6-B6)*Assumptions!B11</f>
        <v>-16414746.22119253</v>
      </c>
      <c r="D12" s="18">
        <f>-(D6-C6)*Assumptions!B11</f>
        <v>-19880615.95312383</v>
      </c>
      <c r="E12" s="18">
        <f>-(E6-D6)*Assumptions!B11</f>
        <v>-24078282.13422646</v>
      </c>
      <c r="F12" s="18">
        <f>-(F6-E6)*Assumptions!B11</f>
        <v>-29162258.95125304</v>
      </c>
    </row>
    <row r="13" spans="1:6" x14ac:dyDescent="0.25">
      <c r="A13" s="19" t="s">
        <v>49</v>
      </c>
      <c r="B13" s="20">
        <f>B9+B10+B11+B12</f>
        <v>117607879.66631253</v>
      </c>
      <c r="C13" s="20">
        <f>C9+C10+C11+C12</f>
        <v>142440038.80416343</v>
      </c>
      <c r="D13" s="20">
        <f>D9+D10+D11+D12</f>
        <v>172515351.11505964</v>
      </c>
      <c r="E13" s="20">
        <f>E9+E10+E11+E12</f>
        <v>208940875.19360033</v>
      </c>
      <c r="F13" s="20">
        <f>F9+F10+F11+F12</f>
        <v>253057418.04711044</v>
      </c>
    </row>
    <row r="14" spans="1:6" x14ac:dyDescent="0.25">
      <c r="A14" t="s">
        <v>50</v>
      </c>
      <c r="B14" s="21">
        <f>1/(1+Assumptions!$B$26)^(1-0.5*Assumptions!$B$32)</f>
        <v>0.9484164374999907</v>
      </c>
      <c r="C14" s="21">
        <f>1/(1+Assumptions!$B$26)^(2-0.5*Assumptions!$B$32)</f>
        <v>0.8530946474202181</v>
      </c>
      <c r="D14" s="21">
        <f>1/(1+Assumptions!$B$26)^(3-0.5*Assumptions!$B$32)</f>
        <v>0.7673532940607993</v>
      </c>
      <c r="E14" s="21">
        <f>1/(1+Assumptions!$B$26)^(4-0.5*Assumptions!$B$32)</f>
        <v>0.6902294835474599</v>
      </c>
      <c r="F14" s="21">
        <f>1/(1+Assumptions!$B$26)^(5-0.5*Assumptions!$B$32)</f>
        <v>0.6208570988690454</v>
      </c>
    </row>
    <row r="15" spans="1:6" x14ac:dyDescent="0.25">
      <c r="A15" s="19" t="s">
        <v>51</v>
      </c>
      <c r="B15" s="20">
        <f>B13*B14</f>
        <v>111541246.25505173</v>
      </c>
      <c r="C15" s="20">
        <f>C13*C14</f>
        <v>121514834.68215999</v>
      </c>
      <c r="D15" s="20">
        <f>D13*D14</f>
        <v>132380222.95419641</v>
      </c>
      <c r="E15" s="20">
        <f>E13*E14</f>
        <v>144217152.37683305</v>
      </c>
      <c r="F15" s="20">
        <f>F13*F14</f>
        <v>157112494.41602018</v>
      </c>
    </row>
    <row r="17" spans="1:2" x14ac:dyDescent="0.25">
      <c r="A17" s="22" t="s">
        <v>52</v>
      </c>
      <c r="B17" s="23">
        <f>SUM(B15:F15)</f>
        <v>666765950.6842613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253057418.04711044</v>
      </c>
    </row>
    <row r="5" spans="1:2" x14ac:dyDescent="0.25">
      <c r="A5" t="s">
        <v>56</v>
      </c>
      <c r="B5" s="18">
        <f>IF(Assumptions!$B$33=0,B4,B4-Forecast!F11-Forecast!F10-Forecast!F12)</f>
        <v>224590517.60388187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0.22374072253214147</v>
      </c>
    </row>
    <row r="7" spans="1:2" x14ac:dyDescent="0.25">
      <c r="A7" t="s">
        <v>58</v>
      </c>
      <c r="B7" s="18">
        <f>-MAX(Forecast!F9,0)*B6</f>
        <v>-50250044.68256017</v>
      </c>
    </row>
    <row r="8" spans="1:2" x14ac:dyDescent="0.25">
      <c r="A8" t="s">
        <v>59</v>
      </c>
      <c r="B8" s="18">
        <f>IF(OR(Assumptions!$B$33=0,Assumptions!B12&lt;=0),B5,MAX(B5+B7,0))</f>
        <v>174340472.9213217</v>
      </c>
    </row>
    <row r="9" spans="1:2" x14ac:dyDescent="0.25">
      <c r="A9" t="s">
        <v>60</v>
      </c>
      <c r="B9" s="18">
        <f>B8*(1+Assumptions!B12)/(Assumptions!B26-Assumptions!B12)</f>
        <v>2060251831.9849665</v>
      </c>
    </row>
    <row r="10" spans="1:2" x14ac:dyDescent="0.25">
      <c r="A10" t="s">
        <v>61</v>
      </c>
      <c r="B10" s="18">
        <f>B9/(1+Assumptions!B26)^(5-0.5*Assumptions!B32)</f>
        <v>1279121975.3458223</v>
      </c>
    </row>
    <row r="11" spans="1:2" x14ac:dyDescent="0.25">
      <c r="A11" t="s">
        <v>62</v>
      </c>
      <c r="B11" s="18">
        <f>Forecast!B17+B10</f>
        <v>1945887926.0300837</v>
      </c>
    </row>
    <row r="12" spans="1:2" x14ac:dyDescent="0.25">
      <c r="A12" t="s">
        <v>63</v>
      </c>
      <c r="B12" s="18">
        <f>-Assumptions!B30</f>
        <v>-669000</v>
      </c>
    </row>
    <row r="13" spans="1:2" x14ac:dyDescent="0.25">
      <c r="A13" t="s">
        <v>64</v>
      </c>
      <c r="B13" s="18">
        <f>B11+B12</f>
        <v>1945218926.0300837</v>
      </c>
    </row>
    <row r="14" spans="1:2" x14ac:dyDescent="0.25">
      <c r="A14" s="19" t="s">
        <v>65</v>
      </c>
      <c r="B14" s="24">
        <f>B13/Assumptions!B31</f>
        <v>23.627451216779228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416817021.0991963</v>
      </c>
    </row>
    <row r="18" spans="1:2" x14ac:dyDescent="0.25">
      <c r="A18" t="s">
        <v>60</v>
      </c>
      <c r="B18" s="18">
        <f>B17*Assumptions!B13</f>
        <v>8336340421.983927</v>
      </c>
    </row>
    <row r="19" spans="1:2" x14ac:dyDescent="0.25">
      <c r="A19" t="s">
        <v>61</v>
      </c>
      <c r="B19" s="18">
        <f>B18/(1+Assumptions!B26)^(5-0.5*Assumptions!B32)</f>
        <v>5175676129.577694</v>
      </c>
    </row>
    <row r="20" spans="1:2" x14ac:dyDescent="0.25">
      <c r="A20" t="s">
        <v>62</v>
      </c>
      <c r="B20" s="18">
        <f>Forecast!B17+B19</f>
        <v>5842442080.261955</v>
      </c>
    </row>
    <row r="21" spans="1:2" x14ac:dyDescent="0.25">
      <c r="A21" t="s">
        <v>63</v>
      </c>
      <c r="B21" s="18">
        <f>-Assumptions!B30</f>
        <v>-669000</v>
      </c>
    </row>
    <row r="22" spans="1:2" x14ac:dyDescent="0.25">
      <c r="A22" t="s">
        <v>64</v>
      </c>
      <c r="B22" s="18">
        <f>B20+B21</f>
        <v>5841773080.261955</v>
      </c>
    </row>
    <row r="23" spans="1:2" x14ac:dyDescent="0.25">
      <c r="A23" s="19" t="s">
        <v>65</v>
      </c>
      <c r="B23" s="25">
        <f>B22/Assumptions!B31</f>
        <v>70.95664484155283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70.23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23.627451216779228</v>
      </c>
    </row>
    <row r="29" spans="1:2" x14ac:dyDescent="0.25">
      <c r="A29" s="19" t="s">
        <v>73</v>
      </c>
      <c r="B29" s="12">
        <f>B28/B26-1</f>
        <v>-0.6635703941794215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0.091736</v>
      </c>
      <c r="B5" s="31">
        <v>29.457545223226987</v>
      </c>
      <c r="C5" s="31">
        <v>29.82942617064621</v>
      </c>
      <c r="D5" s="31">
        <v>30.244389285046</v>
      </c>
      <c r="E5" s="31">
        <v>30.712902243384846</v>
      </c>
      <c r="F5" s="31">
        <v>31.24912268206794</v>
      </c>
    </row>
    <row r="6" spans="1:6" x14ac:dyDescent="0.25">
      <c r="A6" s="30">
        <v>0.101736</v>
      </c>
      <c r="B6" s="31">
        <v>26.088673744461428</v>
      </c>
      <c r="C6" s="31">
        <v>26.26004177261306</v>
      </c>
      <c r="D6" s="31">
        <v>26.443189392944348</v>
      </c>
      <c r="E6" s="31">
        <v>26.640579718574173</v>
      </c>
      <c r="F6" s="31">
        <v>26.855414028864157</v>
      </c>
    </row>
    <row r="7" spans="1:6" x14ac:dyDescent="0.25">
      <c r="A7" s="30">
        <v>0.111736</v>
      </c>
      <c r="B7" s="31">
        <v>23.475977677867682</v>
      </c>
      <c r="C7" s="31">
        <v>23.551767201605866</v>
      </c>
      <c r="D7" s="32">
        <v>23.62755672534404</v>
      </c>
      <c r="E7" s="31">
        <v>23.703346249082227</v>
      </c>
      <c r="F7" s="31">
        <v>23.779135772820403</v>
      </c>
    </row>
    <row r="8" spans="1:6" x14ac:dyDescent="0.25">
      <c r="A8" s="30">
        <v>0.121736</v>
      </c>
      <c r="B8" s="31">
        <v>21.463662172989523</v>
      </c>
      <c r="C8" s="31">
        <v>21.530478534240117</v>
      </c>
      <c r="D8" s="31">
        <v>21.59729489549071</v>
      </c>
      <c r="E8" s="31">
        <v>21.664111256741304</v>
      </c>
      <c r="F8" s="31">
        <v>21.73092761799189</v>
      </c>
    </row>
    <row r="9" spans="1:6" x14ac:dyDescent="0.25">
      <c r="A9" s="30">
        <v>0.131736</v>
      </c>
      <c r="B9" s="31">
        <v>19.75989450250322</v>
      </c>
      <c r="C9" s="31">
        <v>19.81922148339894</v>
      </c>
      <c r="D9" s="31">
        <v>19.878548464294663</v>
      </c>
      <c r="E9" s="31">
        <v>19.93787544519039</v>
      </c>
      <c r="F9" s="31">
        <v>19.997202426086112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490884000</v>
      </c>
      <c r="C5" s="18">
        <v>400399000</v>
      </c>
      <c r="D5" s="18">
        <v>323488000</v>
      </c>
      <c r="E5" s="18">
        <v>276307000</v>
      </c>
      <c r="F5" s="8" t="s">
        <v>84</v>
      </c>
    </row>
    <row r="6" spans="1:6" x14ac:dyDescent="0.25">
      <c r="A6" t="s">
        <v>44</v>
      </c>
      <c r="B6" s="18">
        <v>138804000</v>
      </c>
      <c r="C6" s="18">
        <v>96801000</v>
      </c>
      <c r="D6" s="18">
        <v>54301000</v>
      </c>
      <c r="E6" s="18">
        <v>50694000</v>
      </c>
      <c r="F6" s="8" t="s">
        <v>85</v>
      </c>
    </row>
    <row r="7" spans="1:6" x14ac:dyDescent="0.25">
      <c r="A7" t="s">
        <v>86</v>
      </c>
      <c r="B7" s="18">
        <v>49020000</v>
      </c>
      <c r="C7" s="18">
        <v>45442000</v>
      </c>
      <c r="D7" s="18">
        <v>36823000</v>
      </c>
      <c r="E7" s="18">
        <v>27706000</v>
      </c>
      <c r="F7" s="8" t="s">
        <v>87</v>
      </c>
    </row>
    <row r="8" spans="1:6" x14ac:dyDescent="0.25">
      <c r="A8" t="s">
        <v>88</v>
      </c>
      <c r="B8" s="18">
        <v>23120000</v>
      </c>
      <c r="C8" s="18">
        <v>24453000</v>
      </c>
      <c r="D8" s="18">
        <v>24124000</v>
      </c>
      <c r="E8" s="18">
        <v>17826000</v>
      </c>
      <c r="F8" s="8" t="s">
        <v>89</v>
      </c>
    </row>
    <row r="9" spans="1:6" x14ac:dyDescent="0.25">
      <c r="A9" t="s">
        <v>90</v>
      </c>
      <c r="B9" s="18">
        <v>11832000</v>
      </c>
      <c r="C9" s="18">
        <v>6515000</v>
      </c>
      <c r="D9" s="18">
        <v>9633000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71655000</v>
      </c>
      <c r="C10" s="18">
        <v>59037000</v>
      </c>
      <c r="D10" s="18">
        <v>45222000</v>
      </c>
      <c r="E10" s="18">
        <v>40174000</v>
      </c>
      <c r="F10" s="8" t="s">
        <v>93</v>
      </c>
    </row>
    <row r="11" spans="1:6" x14ac:dyDescent="0.25">
      <c r="A11" t="s">
        <v>94</v>
      </c>
      <c r="B11" s="18">
        <v>70986000</v>
      </c>
      <c r="C11" s="18">
        <v>114833000</v>
      </c>
      <c r="D11" s="18">
        <v>88048000</v>
      </c>
      <c r="E11" s="18">
        <v>72747000</v>
      </c>
      <c r="F11" s="8" t="s">
        <v>95</v>
      </c>
    </row>
    <row r="12" spans="1:6" x14ac:dyDescent="0.25">
      <c r="A12" t="s">
        <v>32</v>
      </c>
      <c r="B12" s="34">
        <v>82328767</v>
      </c>
      <c r="C12" s="34">
        <v>83030398</v>
      </c>
      <c r="D12" s="34">
        <v>83644910</v>
      </c>
      <c r="E12" s="34">
        <v>82861485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2026-09-19T00:06:39Z</dcterms:modified>
</cp:coreProperties>
</file>