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<sst xmlns="http://schemas.openxmlformats.org/spreadsheetml/2006/main" count="119" uniqueCount="106">
  <si>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Hubbell Incorporated (HUBB)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</si>
  <si>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</si>
  <si>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</si>
  <si>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</si>
  <si>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</si>
  <si>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</si>
  <si>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</si>
  <si>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</si>
  <si>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</si>
  <si>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</si>
  <si>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</si>
  <si>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</si>
  <si>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</si>
  <si>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</si>
  <si>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</si>
  <si>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</si>
  <si>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</si>
  <si>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</si>
  <si>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</si>
  <si>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</si>
  <si>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</si>
  <si>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</si>
  <si>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</si>
  <si>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</si>
  <si>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18.9x interest cover. Book interest / average debt was lower, at 3.0%.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</si>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</sst>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0.18404330664202861</v>
      </c>
    </row>
    <row r="7" spans="1:2" x14ac:dyDescent="0.25">
      <c r="A7" t="s">
        <v>4</v>
      </c>
      <c r="B7" s="5">
        <v>0.18389091513191824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0.03270533010514164</v>
      </c>
    </row>
    <row r="10" spans="1:3" x14ac:dyDescent="0.25">
      <c r="A10" t="s">
        <v>7</v>
      </c>
      <c r="B10" s="5">
        <v>0.028890184821518654</v>
      </c>
      <c r="C10" s="6" t="s">
        <v>8</v>
      </c>
    </row>
    <row r="11" spans="1:2" x14ac:dyDescent="0.25">
      <c r="A11" t="s">
        <v>9</v>
      </c>
      <c r="B11" s="5">
        <v>0.21096519703863326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17.1807423733126</v>
      </c>
    </row>
    <row r="14" spans="1:3" x14ac:dyDescent="0.25">
      <c r="A14" t="s">
        <v>12</v>
      </c>
      <c r="B14" s="5">
        <v>0.15822524477983094</v>
      </c>
      <c r="C14" s="6" t="s">
        <v>13</v>
      </c>
    </row>
    <row r="15" spans="1:3" x14ac:dyDescent="0.25">
      <c r="A15" t="s">
        <v>14</v>
      </c>
      <c r="B15" s="5">
        <v>0.03270533010514164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0.89682</v>
      </c>
      <c r="C19" s="6" t="s">
        <v>21</v>
      </c>
    </row>
    <row r="20" spans="1:2" x14ac:dyDescent="0.25">
      <c r="A20" t="s">
        <v>22</v>
      </c>
      <c r="B20" s="9">
        <f>B17+B19*B18</f>
        <v>0.086875486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22319632384</v>
      </c>
    </row>
    <row r="23" spans="1:2" x14ac:dyDescent="0.25">
      <c r="A23" t="s">
        <v>26</v>
      </c>
      <c r="B23" s="10">
        <v>2487300000</v>
      </c>
    </row>
    <row r="24" spans="1:2" x14ac:dyDescent="0.25">
      <c r="A24" t="s">
        <v>27</v>
      </c>
      <c r="B24" s="9">
        <f>B22/(B22+B23)</f>
        <v>0.8997336727694609</v>
      </c>
    </row>
    <row r="25" spans="1:2" x14ac:dyDescent="0.25">
      <c r="A25" t="s">
        <v>28</v>
      </c>
      <c r="B25" s="9">
        <f>1-B24</f>
        <v>0.10026632723053908</v>
      </c>
    </row>
    <row r="26" spans="1:2" x14ac:dyDescent="0.25">
      <c r="A26" t="s">
        <v>29</v>
      </c>
      <c r="B26" s="11">
        <f>B24*B20+B25*B21*(1-B8)</f>
        <v>0.08235819858964383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5844600000</v>
      </c>
      <c r="C29" s="6" t="s">
        <v>32</v>
      </c>
    </row>
    <row r="30" spans="1:2" x14ac:dyDescent="0.25">
      <c r="A30" t="s">
        <v>33</v>
      </c>
      <c r="B30" s="10">
        <v>1989400000</v>
      </c>
    </row>
    <row r="31" spans="1:2" x14ac:dyDescent="0.25">
      <c r="A31" t="s">
        <v>34</v>
      </c>
      <c r="B31" s="12">
        <v>53500000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0.18404330664202861</v>
      </c>
      <c r="C5" s="5">
        <v>0.1101751312791448</v>
      </c>
      <c r="D5" s="5">
        <v>0.0995282398692517</v>
      </c>
      <c r="E5" s="5">
        <v>0.0888813484593586</v>
      </c>
      <c r="F5" s="5">
        <v>0.0782344570494655</v>
      </c>
      <c r="G5" s="5">
        <v>0.0675875656395724</v>
      </c>
      <c r="H5" s="5">
        <v>0.0569406742296793</v>
      </c>
      <c r="I5" s="5">
        <v>0.04629378281978619</v>
      </c>
      <c r="J5" s="5">
        <v>0.03564689140989309</v>
      </c>
      <c r="K5" s="5">
        <v>0.024999999999999994</v>
      </c>
    </row>
    <row r="6" spans="1:11" x14ac:dyDescent="0.25">
      <c r="A6" t="s">
        <v>50</v>
      </c>
      <c r="B6" s="18">
        <f>Assumptions!B29*(1+B5)</f>
        <v>6920259510</v>
      </c>
      <c r="C6" s="18">
        <f>B6*(1+C5)</f>
        <v>7682700010</v>
      </c>
      <c r="D6" s="18">
        <f>C6*(1+D5)</f>
        <v>8447345619.438782</v>
      </c>
      <c r="E6" s="18">
        <f>D6*(1+E5)</f>
        <v>9198157088.996758</v>
      </c>
      <c r="F6" s="18">
        <f>E6*(1+F5)</f>
        <v>9917769914.710112</v>
      </c>
      <c r="G6" s="18">
        <f>F6*(1+G5)</f>
        <v>10588087839.818758</v>
      </c>
      <c r="H6" s="18">
        <f>G6*(1+H5)</f>
        <v>11190980700.221106</v>
      </c>
      <c r="I6" s="18">
        <f>H6*(1+I5)</f>
        <v>11709053530.297562</v>
      </c>
      <c r="J6" s="18">
        <f>I6*(1+J5)</f>
        <v>12126444890.004704</v>
      </c>
      <c r="K6" s="18">
        <f>J6*(1+K5)</f>
        <v>12429606012.25482</v>
      </c>
    </row>
    <row r="7" spans="1:11" x14ac:dyDescent="0.25">
      <c r="A7" t="s">
        <v>4</v>
      </c>
      <c r="B7" s="9">
        <f>Assumptions!B7</f>
        <v>0.18389091513191824</v>
      </c>
      <c r="C7" s="9">
        <f>Assumptions!B7</f>
        <v>0.18389091513191824</v>
      </c>
      <c r="D7" s="9">
        <f>Assumptions!B7</f>
        <v>0.18389091513191824</v>
      </c>
      <c r="E7" s="9">
        <f>Assumptions!B7</f>
        <v>0.18389091513191824</v>
      </c>
      <c r="F7" s="9">
        <f>Assumptions!B7</f>
        <v>0.18389091513191824</v>
      </c>
      <c r="G7" s="9">
        <f>Assumptions!B7</f>
        <v>0.18389091513191824</v>
      </c>
      <c r="H7" s="9">
        <f>Assumptions!B7</f>
        <v>0.18389091513191824</v>
      </c>
      <c r="I7" s="9">
        <f>Assumptions!B7</f>
        <v>0.18389091513191824</v>
      </c>
      <c r="J7" s="9">
        <f>Assumptions!B7</f>
        <v>0.18389091513191824</v>
      </c>
      <c r="K7" s="9">
        <f>Assumptions!B7</f>
        <v>0.18389091513191824</v>
      </c>
    </row>
    <row r="8" spans="1:11" x14ac:dyDescent="0.25">
      <c r="A8" t="s">
        <v>51</v>
      </c>
      <c r="B8" s="18">
        <f>B6*B7</f>
        <v>1272572854.24426</v>
      </c>
      <c r="C8" s="18">
        <f>C6*C7</f>
        <v>1412778735.5228975</v>
      </c>
      <c r="D8" s="18">
        <f>D6*D7</f>
        <v>1553390116.3941984</v>
      </c>
      <c r="E8" s="18">
        <f>E6*E7</f>
        <v>1691457524.6227548</v>
      </c>
      <c r="F8" s="18">
        <f>F6*F7</f>
        <v>1823787785.683849</v>
      </c>
      <c r="G8" s="18">
        <f>G6*G7</f>
        <v>1947053162.3614068</v>
      </c>
      <c r="H8" s="18">
        <f>H6*H7</f>
        <v>2057919682.1872942</v>
      </c>
      <c r="I8" s="18">
        <f>I6*I7</f>
        <v>2153188569.0150366</v>
      </c>
      <c r="J8" s="18">
        <f>J6*J7</f>
        <v>2229943048.1197386</v>
      </c>
      <c r="K8" s="18">
        <f>K6*K7</f>
        <v>2285691624.322732</v>
      </c>
    </row>
    <row r="9" spans="1:11" x14ac:dyDescent="0.25">
      <c r="A9" t="s">
        <v>52</v>
      </c>
      <c r="B9" s="18">
        <f>B8*(1-Assumptions!B8)</f>
        <v>1005332554.8529655</v>
      </c>
      <c r="C9" s="18">
        <f>C8*(1-Assumptions!B8)</f>
        <v>1116095201.0630891</v>
      </c>
      <c r="D9" s="18">
        <f>D8*(1-Assumptions!B8)</f>
        <v>1227178191.9514167</v>
      </c>
      <c r="E9" s="18">
        <f>E8*(1-Assumptions!B8)</f>
        <v>1336251444.4519763</v>
      </c>
      <c r="F9" s="18">
        <f>F8*(1-Assumptions!B8)</f>
        <v>1440792350.6902409</v>
      </c>
      <c r="G9" s="18">
        <f>G8*(1-Assumptions!B8)</f>
        <v>1538171998.2655115</v>
      </c>
      <c r="H9" s="18">
        <f>H8*(1-Assumptions!B8)</f>
        <v>1625756548.9279625</v>
      </c>
      <c r="I9" s="18">
        <f>I8*(1-Assumptions!B8)</f>
        <v>1701018969.521879</v>
      </c>
      <c r="J9" s="18">
        <f>J8*(1-Assumptions!B8)</f>
        <v>1761655008.0145936</v>
      </c>
      <c r="K9" s="18">
        <f>K8*(1-Assumptions!B8)</f>
        <v>1805696383.2149584</v>
      </c>
    </row>
    <row r="10" spans="1:11" x14ac:dyDescent="0.25">
      <c r="A10" t="s">
        <v>53</v>
      </c>
      <c r="B10" s="18">
        <f>B6*Assumptions!B9</f>
        <v>226329371.68779576</v>
      </c>
      <c r="C10" s="18">
        <f>C6*Assumptions!B9</f>
        <v>251265239.925825</v>
      </c>
      <c r="D10" s="18">
        <f>D6*Assumptions!B9</f>
        <v>276273226.99596757</v>
      </c>
      <c r="E10" s="18">
        <f>E6*Assumptions!B9</f>
        <v>300828763.9545877</v>
      </c>
      <c r="F10" s="18">
        <f>F6*Assumptions!B9</f>
        <v>324363938.9674367</v>
      </c>
      <c r="G10" s="18">
        <f>G6*Assumptions!B9</f>
        <v>346286907.9835086</v>
      </c>
      <c r="H10" s="18">
        <f>H6*Assumptions!B9</f>
        <v>366004718.0010004</v>
      </c>
      <c r="I10" s="18">
        <f>I6*Assumptions!B9</f>
        <v>382948460.92715585</v>
      </c>
      <c r="J10" s="18">
        <f>J6*Assumptions!B9</f>
        <v>396599383.1294119</v>
      </c>
      <c r="K10" s="18">
        <f>K6*Assumptions!B9</f>
        <v>406514367.70764714</v>
      </c>
    </row>
    <row r="11" spans="1:11" x14ac:dyDescent="0.25">
      <c r="A11" t="s">
        <v>54</v>
      </c>
      <c r="B11" s="18">
        <f>-B6*B19</f>
        <v>-199927576.25677213</v>
      </c>
      <c r="C11" s="18">
        <f>-C6*C19</f>
        <v>-244805352.09439528</v>
      </c>
      <c r="D11" s="18">
        <f>-D6*D19</f>
        <v>-294295419.6010133</v>
      </c>
      <c r="E11" s="18">
        <f>-E6*E19</f>
        <v>-347810960.8516071</v>
      </c>
      <c r="F11" s="18">
        <f>-F6*F19</f>
        <v>-404520281.4218232</v>
      </c>
      <c r="G11" s="18">
        <f>-G6*G19</f>
        <v>-463353074.4689892</v>
      </c>
      <c r="H11" s="18">
        <f>-H6*H19</f>
        <v>-523022152.9700906</v>
      </c>
      <c r="I11" s="18">
        <f>-I6*I19</f>
        <v>-582061177.9886706</v>
      </c>
      <c r="J11" s="18">
        <f>-J6*J19</f>
        <v>-638877651.8077973</v>
      </c>
      <c r="K11" s="18">
        <f>-K6*K19</f>
        <v>-691819090.3717785</v>
      </c>
    </row>
    <row r="12" spans="1:11" x14ac:dyDescent="0.25">
      <c r="A12" t="s">
        <v>55</v>
      </c>
      <c r="B12" s="18">
        <f>-(B6-Assumptions!B29)*Assumptions!B11</f>
        <v>-226926720.4736297</v>
      </c>
      <c r="C12" s="18">
        <f>-(C6-B6)*Assumptions!B11</f>
        <v>-160848410.31273407</v>
      </c>
      <c r="D12" s="18">
        <f>-(D6-C6)*Assumptions!B11</f>
        <v>-161313611.6599784</v>
      </c>
      <c r="E12" s="18">
        <f>-(E6-D6)*Assumptions!B11</f>
        <v>-158395089.61416414</v>
      </c>
      <c r="F12" s="18">
        <f>-(F6-E6)*Assumptions!B11</f>
        <v>-151813261.5681454</v>
      </c>
      <c r="G12" s="18">
        <f>-(G6-F6)*Assumptions!B11</f>
        <v>-141413753.1490734</v>
      </c>
      <c r="H12" s="18">
        <f>-(H6-G6)*Assumptions!B11</f>
        <v>-127189411.08796647</v>
      </c>
      <c r="I12" s="18">
        <f>-(I6-H6)*Assumptions!B11</f>
        <v>-109295336.67744192</v>
      </c>
      <c r="J12" s="18">
        <f>-(J6-I6)*Assumptions!B11</f>
        <v>-88055050.44284023</v>
      </c>
      <c r="K12" s="18">
        <f>-(K6-J6)*Assumptions!B11</f>
        <v>-63956445.88994898</v>
      </c>
    </row>
    <row r="13" spans="1:11" x14ac:dyDescent="0.25">
      <c r="A13" s="19" t="s">
        <v>56</v>
      </c>
      <c r="B13" s="20">
        <f>B9+B10+B11+B12</f>
        <v>804807629.8103594</v>
      </c>
      <c r="C13" s="20">
        <f>C9+C10+C11+C12</f>
        <v>961706678.5817847</v>
      </c>
      <c r="D13" s="20">
        <f>D9+D10+D11+D12</f>
        <v>1047842387.6863928</v>
      </c>
      <c r="E13" s="20">
        <f>E9+E10+E11+E12</f>
        <v>1130874157.9407928</v>
      </c>
      <c r="F13" s="20">
        <f>F9+F10+F11+F12</f>
        <v>1208822746.6677089</v>
      </c>
      <c r="G13" s="20">
        <f>G9+G10+G11+G12</f>
        <v>1279692078.6309576</v>
      </c>
      <c r="H13" s="20">
        <f>H9+H10+H11+H12</f>
        <v>1341549702.8709059</v>
      </c>
      <c r="I13" s="20">
        <f>I9+I10+I11+I12</f>
        <v>1392610915.7829223</v>
      </c>
      <c r="J13" s="20">
        <f>J9+J10+J11+J12</f>
        <v>1431321688.8933675</v>
      </c>
      <c r="K13" s="20">
        <f>K9+K10+K11+K12</f>
        <v>1456435214.660878</v>
      </c>
    </row>
    <row r="14" spans="1:11" x14ac:dyDescent="0.25">
      <c r="A14" t="s">
        <v>57</v>
      </c>
      <c r="B14" s="21">
        <f>1/(1+Assumptions!$B$26)^(1-0.5*Assumptions!$B$32)</f>
        <v>0.9612016207288012</v>
      </c>
      <c r="C14" s="21">
        <f>1/(1+Assumptions!$B$26)^(2-0.5*Assumptions!$B$32)</f>
        <v>0.8880624011360431</v>
      </c>
      <c r="D14" s="21">
        <f>1/(1+Assumptions!$B$26)^(3-0.5*Assumptions!$B$32)</f>
        <v>0.8204884503976816</v>
      </c>
      <c r="E14" s="21">
        <f>1/(1+Assumptions!$B$26)^(4-0.5*Assumptions!$B$32)</f>
        <v>0.7580562991686219</v>
      </c>
      <c r="F14" s="21">
        <f>1/(1+Assumptions!$B$26)^(5-0.5*Assumptions!$B$32)</f>
        <v>0.7003747004978571</v>
      </c>
      <c r="G14" s="21">
        <f>1/(1+Assumptions!$B$26)^(6-0.5*Assumptions!$B$32)</f>
        <v>0.647082177979964</v>
      </c>
      <c r="H14" s="21">
        <f>1/(1+Assumptions!$B$26)^(7-0.5*Assumptions!$B$32)</f>
        <v>0.5978447604712914</v>
      </c>
      <c r="I14" s="21">
        <f>1/(1+Assumptions!$B$26)^(8-0.5*Assumptions!$B$32)</f>
        <v>0.5523538891748657</v>
      </c>
      <c r="J14" s="21">
        <f>1/(1+Assumptions!$B$26)^(9-0.5*Assumptions!$B$32)</f>
        <v>0.5103244839782293</v>
      </c>
      <c r="K14" s="21">
        <f>1/(1+Assumptions!$B$26)^(10-0.5*Assumptions!$B$32)</f>
        <v>0.47149315692642463</v>
      </c>
    </row>
    <row r="15" spans="1:11" x14ac:dyDescent="0.25">
      <c r="A15" s="19" t="s">
        <v>58</v>
      </c>
      <c r="B15" s="20">
        <f>B13*B14</f>
        <v>773582398.1486225</v>
      </c>
      <c r="C15" s="20">
        <f>C13*C14</f>
        <v>854055542.1699085</v>
      </c>
      <c r="D15" s="20">
        <f>D13*D14</f>
        <v>859742576.9338151</v>
      </c>
      <c r="E15" s="20">
        <f>E13*E14</f>
        <v>857266278.994029</v>
      </c>
      <c r="F15" s="20">
        <f>F13*F14</f>
        <v>846628869.1523936</v>
      </c>
      <c r="G15" s="20">
        <f>G13*G14</f>
        <v>828065937.3842274</v>
      </c>
      <c r="H15" s="20">
        <f>H13*H14</f>
        <v>802038460.773189</v>
      </c>
      <c r="I15" s="20">
        <f>I13*I14</f>
        <v>769214055.4400685</v>
      </c>
      <c r="J15" s="20">
        <f>J13*J14</f>
        <v>730438502.2913554</v>
      </c>
      <c r="K15" s="20">
        <f>K13*K14</f>
        <v>686699237.2192723</v>
      </c>
    </row>
    <row r="17" spans="1:2" x14ac:dyDescent="0.25">
      <c r="A17" s="22" t="s">
        <v>59</v>
      </c>
      <c r="B17" s="23">
        <f>SUM(B15:K15)</f>
        <v>8007731858.506881</v>
      </c>
    </row>
    <row r="19" spans="1:11" x14ac:dyDescent="0.25">
      <c r="A19" t="s">
        <v>7</v>
      </c>
      <c r="B19" s="9">
        <f>Assumptions!$B$10+($B$20-Assumptions!$B$10)*0/9</f>
        <v>0.028890184821518654</v>
      </c>
      <c r="C19" s="9">
        <f>Assumptions!$B$10+($B$20-Assumptions!$B$10)*1/9</f>
        <v>0.03186449448445863</v>
      </c>
      <c r="D19" s="9">
        <f>Assumptions!$B$10+($B$20-Assumptions!$B$10)*2/9</f>
        <v>0.03483880414739861</v>
      </c>
      <c r="E19" s="9">
        <f>Assumptions!$B$10+($B$20-Assumptions!$B$10)*3/9</f>
        <v>0.03781311381033859</v>
      </c>
      <c r="F19" s="9">
        <f>Assumptions!$B$10+($B$20-Assumptions!$B$10)*4/9</f>
        <v>0.04078742347327857</v>
      </c>
      <c r="G19" s="9">
        <f>Assumptions!$B$10+($B$20-Assumptions!$B$10)*5/9</f>
        <v>0.04376173313621855</v>
      </c>
      <c r="H19" s="9">
        <f>Assumptions!$B$10+($B$20-Assumptions!$B$10)*6/9</f>
        <v>0.04673604279915852</v>
      </c>
      <c r="I19" s="9">
        <f>Assumptions!$B$10+($B$20-Assumptions!$B$10)*7/9</f>
        <v>0.049710352462098505</v>
      </c>
      <c r="J19" s="9">
        <f>Assumptions!$B$10+($B$20-Assumptions!$B$10)*8/9</f>
        <v>0.05268466212503849</v>
      </c>
      <c r="K19" s="9">
        <f>Assumptions!$B$10+($B$20-Assumptions!$B$10)*9/9</f>
        <v>0.05565897178797846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0.05565897178797846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1456435214.660878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1805696383.2149584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0.15800259961542348</v>
      </c>
    </row>
    <row r="7" spans="1:2" x14ac:dyDescent="0.25">
      <c r="A7" t="s">
        <v>66</v>
      </c>
      <c r="B7" s="18">
        <f>-MAX(B5,0)*B6</f>
        <v>-285304722.66413134</v>
      </c>
    </row>
    <row r="8" spans="1:2" x14ac:dyDescent="0.25">
      <c r="A8" t="s">
        <v>67</v>
      </c>
      <c r="B8" s="18">
        <f>IF(OR(Assumptions!$B$33=0,Assumptions!B12&lt;=0),B5,MAX(B5+B7,0))</f>
        <v>1520391660.550827</v>
      </c>
    </row>
    <row r="9" spans="1:2" x14ac:dyDescent="0.25">
      <c r="A9" t="s">
        <v>68</v>
      </c>
      <c r="B9" s="18">
        <f>B8*(1+Assumptions!B12)/(Assumptions!B26-Assumptions!B12)</f>
        <v>27169637303.532246</v>
      </c>
    </row>
    <row r="10" spans="1:2" x14ac:dyDescent="0.25">
      <c r="A10" t="s">
        <v>69</v>
      </c>
      <c r="B10" s="18">
        <f>B9/(1+Assumptions!B26)^(10-0.5*Assumptions!B32)</f>
        <v>12810298064.78837</v>
      </c>
    </row>
    <row r="11" spans="1:2" x14ac:dyDescent="0.25">
      <c r="A11" t="s">
        <v>70</v>
      </c>
      <c r="B11" s="18">
        <f>Forecast!B17+B10</f>
        <v>20818029923.29525</v>
      </c>
    </row>
    <row r="12" spans="1:2" x14ac:dyDescent="0.25">
      <c r="A12" t="s">
        <v>71</v>
      </c>
      <c r="B12" s="18">
        <f>-Assumptions!B30</f>
        <v>-1989400000</v>
      </c>
    </row>
    <row r="13" spans="1:2" x14ac:dyDescent="0.25">
      <c r="A13" t="s">
        <v>72</v>
      </c>
      <c r="B13" s="18">
        <f>B11+B12</f>
        <v>18828629923.29525</v>
      </c>
    </row>
    <row r="14" spans="1:2" x14ac:dyDescent="0.25">
      <c r="A14" s="19" t="s">
        <v>73</v>
      </c>
      <c r="B14" s="24">
        <f>B13/Assumptions!B31</f>
        <v>351.9370079120607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2692205992.0303793</v>
      </c>
    </row>
    <row r="18" spans="1:2" x14ac:dyDescent="0.25">
      <c r="A18" t="s">
        <v>68</v>
      </c>
      <c r="B18" s="18">
        <f>B17*Assumptions!B13</f>
        <v>46254097564.962425</v>
      </c>
    </row>
    <row r="19" spans="1:2" x14ac:dyDescent="0.25">
      <c r="A19" t="s">
        <v>69</v>
      </c>
      <c r="B19" s="18">
        <f>B18/(1+Assumptions!B26)^(10-0.5*Assumptions!B32)</f>
        <v>21808490481.686985</v>
      </c>
    </row>
    <row r="20" spans="1:2" x14ac:dyDescent="0.25">
      <c r="A20" t="s">
        <v>70</v>
      </c>
      <c r="B20" s="18">
        <f>Forecast!B17+B19</f>
        <v>29816222340.193867</v>
      </c>
    </row>
    <row r="21" spans="1:2" x14ac:dyDescent="0.25">
      <c r="A21" t="s">
        <v>71</v>
      </c>
      <c r="B21" s="18">
        <f>-Assumptions!B30</f>
        <v>-1989400000</v>
      </c>
    </row>
    <row r="22" spans="1:2" x14ac:dyDescent="0.25">
      <c r="A22" t="s">
        <v>72</v>
      </c>
      <c r="B22" s="18">
        <f>B20+B21</f>
        <v>27826822340.193867</v>
      </c>
    </row>
    <row r="23" spans="1:2" x14ac:dyDescent="0.25">
      <c r="A23" s="19" t="s">
        <v>73</v>
      </c>
      <c r="B23" s="25">
        <f>B22/Assumptions!B31</f>
        <v>520.1275203774554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422.44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351.9370079120607</v>
      </c>
    </row>
    <row r="29" spans="1:2" x14ac:dyDescent="0.25">
      <c r="A29" s="19" t="s">
        <v>81</v>
      </c>
      <c r="B29" s="11">
        <f>B28/B26-1</f>
        <v>-0.1668946882111999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0.062358</v>
      </c>
      <c r="B5" s="31">
        <v>501.793008039409</v>
      </c>
      <c r="C5" s="31">
        <v>529.7237829506918</v>
      </c>
      <c r="D5" s="31">
        <v>565.8136232865872</v>
      </c>
      <c r="E5" s="31">
        <v>613.8447770651809</v>
      </c>
      <c r="F5" s="31">
        <v>680.3644956074926</v>
      </c>
    </row>
    <row r="6" spans="1:6" x14ac:dyDescent="0.25">
      <c r="A6" s="30">
        <v>0.072358</v>
      </c>
      <c r="B6" s="31">
        <v>403.7674159054076</v>
      </c>
      <c r="C6" s="31">
        <v>418.2003888447515</v>
      </c>
      <c r="D6" s="31">
        <v>436.1892985882648</v>
      </c>
      <c r="E6" s="31">
        <v>458.9933890110728</v>
      </c>
      <c r="F6" s="31">
        <v>488.5460535011894</v>
      </c>
    </row>
    <row r="7" spans="1:6" x14ac:dyDescent="0.25">
      <c r="A7" s="30">
        <v>0.082358</v>
      </c>
      <c r="B7" s="31">
        <v>335.11115673373484</v>
      </c>
      <c r="C7" s="31">
        <v>342.6677714459401</v>
      </c>
      <c r="D7" s="32">
        <v>351.93838769960814</v>
      </c>
      <c r="E7" s="31">
        <v>363.4140483749475</v>
      </c>
      <c r="F7" s="31">
        <v>377.79317119071874</v>
      </c>
    </row>
    <row r="8" spans="1:6" x14ac:dyDescent="0.25">
      <c r="A8" s="30">
        <v>0.092358</v>
      </c>
      <c r="B8" s="31">
        <v>284.41660568705305</v>
      </c>
      <c r="C8" s="31">
        <v>288.188837481923</v>
      </c>
      <c r="D8" s="31">
        <v>292.84043848585577</v>
      </c>
      <c r="E8" s="31">
        <v>298.5829379033795</v>
      </c>
      <c r="F8" s="31">
        <v>305.70162246352686</v>
      </c>
    </row>
    <row r="9" spans="1:6" x14ac:dyDescent="0.25">
      <c r="A9" s="30">
        <v>0.102358</v>
      </c>
      <c r="B9" s="31">
        <v>245.50098379077946</v>
      </c>
      <c r="C9" s="31">
        <v>247.0824372847863</v>
      </c>
      <c r="D9" s="31">
        <v>249.13150329390356</v>
      </c>
      <c r="E9" s="31">
        <v>251.74511909841357</v>
      </c>
      <c r="F9" s="31">
        <v>255.0490046860072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5844600000</v>
      </c>
      <c r="C5" s="18">
        <v>5628500000</v>
      </c>
      <c r="D5" s="18">
        <v>5372900000</v>
      </c>
      <c r="E5" s="18">
        <v>4947900000</v>
      </c>
      <c r="F5" s="6" t="s">
        <v>91</v>
      </c>
    </row>
    <row r="6" spans="1:6" x14ac:dyDescent="0.25">
      <c r="A6" t="s">
        <v>51</v>
      </c>
      <c r="B6" s="18">
        <v>1208800000</v>
      </c>
      <c r="C6" s="18">
        <v>1093100000</v>
      </c>
      <c r="D6" s="18">
        <v>1027400000</v>
      </c>
      <c r="E6" s="18">
        <v>709100000</v>
      </c>
      <c r="F6" s="6" t="s">
        <v>92</v>
      </c>
    </row>
    <row r="7" spans="1:6" x14ac:dyDescent="0.25">
      <c r="A7" t="s">
        <v>93</v>
      </c>
      <c r="B7" s="18">
        <v>206100000</v>
      </c>
      <c r="C7" s="18">
        <v>212100000</v>
      </c>
      <c r="D7" s="18">
        <v>149700000</v>
      </c>
      <c r="E7" s="18">
        <v>148500000</v>
      </c>
      <c r="F7" s="6" t="s">
        <v>94</v>
      </c>
    </row>
    <row r="8" spans="1:6" x14ac:dyDescent="0.25">
      <c r="A8" t="s">
        <v>95</v>
      </c>
      <c r="B8" s="18">
        <v>155100000</v>
      </c>
      <c r="C8" s="18">
        <v>180400000</v>
      </c>
      <c r="D8" s="18">
        <v>165700000</v>
      </c>
      <c r="E8" s="18">
        <v>129300000</v>
      </c>
      <c r="F8" s="6" t="s">
        <v>96</v>
      </c>
    </row>
    <row r="9" spans="1:6" x14ac:dyDescent="0.25">
      <c r="A9" t="s">
        <v>97</v>
      </c>
      <c r="B9" s="18">
        <v>56300000</v>
      </c>
      <c r="C9" s="18">
        <v>25000000</v>
      </c>
      <c r="D9" s="18">
        <v>21800000</v>
      </c>
      <c r="E9" s="18">
        <v>27100000</v>
      </c>
      <c r="F9" s="6" t="s">
        <v>98</v>
      </c>
    </row>
    <row r="10" spans="1:6" x14ac:dyDescent="0.25">
      <c r="A10" t="s">
        <v>99</v>
      </c>
      <c r="B10" s="18">
        <v>2487300000</v>
      </c>
      <c r="C10" s="18">
        <v>1719600000</v>
      </c>
      <c r="D10" s="18">
        <v>2290000000</v>
      </c>
      <c r="E10" s="18">
        <v>1558000000</v>
      </c>
      <c r="F10" s="6" t="s">
        <v>100</v>
      </c>
    </row>
    <row r="11" spans="1:6" x14ac:dyDescent="0.25">
      <c r="A11" t="s">
        <v>101</v>
      </c>
      <c r="B11" s="18">
        <v>497900000</v>
      </c>
      <c r="C11" s="18">
        <v>345000000</v>
      </c>
      <c r="D11" s="18">
        <v>348700000</v>
      </c>
      <c r="E11" s="18">
        <v>454800000</v>
      </c>
      <c r="F11" s="6" t="s">
        <v>102</v>
      </c>
    </row>
    <row r="12" spans="1:6" x14ac:dyDescent="0.25">
      <c r="A12" t="s">
        <v>34</v>
      </c>
      <c r="B12" s="34">
        <v>53500000</v>
      </c>
      <c r="C12" s="34">
        <v>54000000</v>
      </c>
      <c r="D12" s="34">
        <v>54000000</v>
      </c>
      <c r="E12" s="34">
        <v>54100000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