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<sst xmlns="http://schemas.openxmlformats.org/spreadsheetml/2006/main" count="112" uniqueCount="100">
  <si>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Humana Inc. (HUM)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</si>
  <si>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</si>
  <si>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</si>
  <si>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</si>
  <si>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</si>
  <si>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</si>
  <si>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</si>
  <si>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</si>
  <si>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</si>
  <si>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</si>
  <si>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</si>
  <si>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</si>
  <si>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</si>
  <si>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</si>
  <si>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</si>
  <si>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</si>
  <si>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</si>
  <si>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</si>
  <si>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</si>
  <si>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</si>
  <si>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</si>
  <si>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</si>
  <si>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</si>
  <si>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</si>
  <si>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</si>
  <si>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</si>
  <si>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</si>
  <si>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</si>
  <si>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</si>
  <si>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</si>
  <si>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</si>
  <si>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</si>
  <si>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</si>
  <si>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</si>
  <si>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</si>
  <si>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</si>
  <si>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</si>
  <si>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</si>
  <si>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</si>
  <si>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</si>
  <si>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</si>
  <si>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</si>
  <si>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</si>
  <si>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</si>
  <si>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</si>
  <si>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</si>
  <si>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</si>
  <si>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</si>
  <si>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</si>
  <si>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</si>
  <si>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</si>
  <si>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</si>
  <si>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</si>
  <si>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</si>
  <si>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</si>
  <si>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</si>
  <si>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</si>
  <si>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</si>
  <si>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</si>
  <si>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</si>
  <si>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</si>
  <si>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</si>
  <si>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</si>
  <si>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</si>
  <si>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</si>
  <si>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</si>
  <si>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</si>
  <si>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</si>
  <si>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</si>
  <si>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</si>
  <si>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</si>
  <si>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</si>
  <si>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</si>
  <si>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</si>
  <si>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</si>
  <si>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</si>
  <si>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</si>
  <si>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</si>
  <si>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</si>
  <si>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</si>
  <si>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</si>
  <si>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</si>
  <si>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</si>
  <si>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</si>
  <si>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</si>
  <si>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</si>
  <si>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</si>
  <si>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</si>
  <si>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</si>
  <si>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</si>
  <si>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</si>
  <si>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</si>
  <si>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</si>
  <si>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</si>
  <si>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</si>
  <si>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</si>
  <si>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</si>
  <si>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</si>
  <si>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0.77%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</si>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</sst>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0.11767273447695548</v>
      </c>
    </row>
    <row r="7" spans="1:2" x14ac:dyDescent="0.25">
      <c r="A7" t="s">
        <v>5</v>
      </c>
      <c r="B7" s="6">
        <v>0.029063127827518975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0.008073548278777924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-0.005998222748815166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12.904788922259137</v>
      </c>
    </row>
    <row r="14" spans="1:3" x14ac:dyDescent="0.25">
      <c r="A14" t="s">
        <v>12</v>
      </c>
      <c r="B14" s="6">
        <v>0.08831422622819823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0.82915</v>
      </c>
      <c r="C19" s="8" t="s">
        <v>19</v>
      </c>
    </row>
    <row r="20" spans="1:2" x14ac:dyDescent="0.25">
      <c r="A20" t="s">
        <v>20</v>
      </c>
      <c r="B20" s="10">
        <f>B17+B19*B18</f>
        <v>0.09558325000000001</v>
      </c>
    </row>
    <row r="21" spans="1:3" x14ac:dyDescent="0.25">
      <c r="A21" t="s">
        <v>21</v>
      </c>
      <c r="B21" s="6">
        <v>0.052386882523868826</v>
      </c>
      <c r="C21" s="8" t="s">
        <v>22</v>
      </c>
    </row>
    <row r="22" spans="1:2" x14ac:dyDescent="0.25">
      <c r="A22" t="s">
        <v>23</v>
      </c>
      <c r="B22" s="11">
        <v>46377414656</v>
      </c>
    </row>
    <row r="23" spans="1:2" x14ac:dyDescent="0.25">
      <c r="A23" t="s">
        <v>24</v>
      </c>
      <c r="B23" s="11">
        <v>12369000000</v>
      </c>
    </row>
    <row r="24" spans="1:2" x14ac:dyDescent="0.25">
      <c r="A24" t="s">
        <v>25</v>
      </c>
      <c r="B24" s="10">
        <f>B22/(B22+B23)</f>
        <v>0.7894509805844516</v>
      </c>
    </row>
    <row r="25" spans="1:2" x14ac:dyDescent="0.25">
      <c r="A25" t="s">
        <v>26</v>
      </c>
      <c r="B25" s="10">
        <f>1-B24</f>
        <v>0.21054901941554838</v>
      </c>
    </row>
    <row r="26" spans="1:2" x14ac:dyDescent="0.25">
      <c r="A26" t="s">
        <v>27</v>
      </c>
      <c r="B26" s="12">
        <f>B24*B20+B25*B21*(1-B8)</f>
        <v>0.0841719957690029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129664000000</v>
      </c>
      <c r="C29" s="8" t="s">
        <v>30</v>
      </c>
    </row>
    <row r="30" spans="1:2" x14ac:dyDescent="0.25">
      <c r="A30" t="s">
        <v>31</v>
      </c>
      <c r="B30" s="11">
        <v>-7534000000</v>
      </c>
    </row>
    <row r="31" spans="1:2" x14ac:dyDescent="0.25">
      <c r="A31" t="s">
        <v>32</v>
      </c>
      <c r="B31" s="13">
        <v>120826000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0.11767273447695548</v>
      </c>
      <c r="C5" s="10">
        <f>Assumptions!B6</f>
        <v>0.11767273447695548</v>
      </c>
      <c r="D5" s="10">
        <f>Assumptions!B6</f>
        <v>0.11767273447695548</v>
      </c>
      <c r="E5" s="10">
        <f>Assumptions!B6</f>
        <v>0.11767273447695548</v>
      </c>
      <c r="F5" s="10">
        <f>Assumptions!B6</f>
        <v>0.11767273447695548</v>
      </c>
    </row>
    <row r="6" spans="1:6" x14ac:dyDescent="0.25">
      <c r="A6" t="s">
        <v>43</v>
      </c>
      <c r="B6" s="18">
        <f>Assumptions!B29*(1+B5)</f>
        <v>144921917443.21994</v>
      </c>
      <c r="C6" s="18">
        <f>B6*(1+C5)</f>
        <v>161975275754.40723</v>
      </c>
      <c r="D6" s="18">
        <f>C6*(1+D5)</f>
        <v>181035349370.08722</v>
      </c>
      <c r="E6" s="18">
        <f>D6*(1+E5)</f>
        <v>202338273967.45636</v>
      </c>
      <c r="F6" s="18">
        <f>E6*(1+F5)</f>
        <v>226147971954.55432</v>
      </c>
    </row>
    <row r="7" spans="1:6" x14ac:dyDescent="0.25">
      <c r="A7" t="s">
        <v>5</v>
      </c>
      <c r="B7" s="10">
        <f>Assumptions!B7</f>
        <v>0.029063127827518975</v>
      </c>
      <c r="C7" s="10">
        <f>Assumptions!B7</f>
        <v>0.029063127827518975</v>
      </c>
      <c r="D7" s="10">
        <f>Assumptions!B7</f>
        <v>0.029063127827518975</v>
      </c>
      <c r="E7" s="10">
        <f>Assumptions!B7</f>
        <v>0.029063127827518975</v>
      </c>
      <c r="F7" s="10">
        <f>Assumptions!B7</f>
        <v>0.029063127827518975</v>
      </c>
    </row>
    <row r="8" spans="1:6" x14ac:dyDescent="0.25">
      <c r="A8" t="s">
        <v>44</v>
      </c>
      <c r="B8" s="18">
        <f>B6*B7</f>
        <v>4211884211.661453</v>
      </c>
      <c r="C8" s="18">
        <f>C6*C7</f>
        <v>4707508144.147972</v>
      </c>
      <c r="D8" s="18">
        <f>D6*D7</f>
        <v>5261453500.042401</v>
      </c>
      <c r="E8" s="18">
        <f>E6*E7</f>
        <v>5880583120.715739</v>
      </c>
      <c r="F8" s="18">
        <f>F6*F7</f>
        <v>6572567416.849388</v>
      </c>
    </row>
    <row r="9" spans="1:6" x14ac:dyDescent="0.25">
      <c r="A9" t="s">
        <v>45</v>
      </c>
      <c r="B9" s="18">
        <f>B8*(1-Assumptions!B8)</f>
        <v>3327388527.212548</v>
      </c>
      <c r="C9" s="18">
        <f>C8*(1-Assumptions!B8)</f>
        <v>3718931433.8768983</v>
      </c>
      <c r="D9" s="18">
        <f>D8*(1-Assumptions!B8)</f>
        <v>4156548265.0334973</v>
      </c>
      <c r="E9" s="18">
        <f>E8*(1-Assumptions!B8)</f>
        <v>4645660665.365435</v>
      </c>
      <c r="F9" s="18">
        <f>F8*(1-Assumptions!B8)</f>
        <v>5192328259.311017</v>
      </c>
    </row>
    <row r="10" spans="1:6" x14ac:dyDescent="0.25">
      <c r="A10" t="s">
        <v>46</v>
      </c>
      <c r="B10" s="18">
        <f>B6*Assumptions!B9</f>
        <v>1170034097.1309047</v>
      </c>
      <c r="C10" s="18">
        <f>C6*Assumptions!B9</f>
        <v>1307715208.771574</v>
      </c>
      <c r="D10" s="18">
        <f>D6*Assumptions!B9</f>
        <v>1461597633.304828</v>
      </c>
      <c r="E10" s="18">
        <f>E6*Assumptions!B9</f>
        <v>1633587823.5208533</v>
      </c>
      <c r="F10" s="18">
        <f>F6*Assumptions!B9</f>
        <v>1825816569.7228103</v>
      </c>
    </row>
    <row r="11" spans="1:6" x14ac:dyDescent="0.25">
      <c r="A11" t="s">
        <v>47</v>
      </c>
      <c r="B11" s="18">
        <f>-B6*Assumptions!B10</f>
        <v>-1449219174.4321995</v>
      </c>
      <c r="C11" s="18">
        <f>-C6*Assumptions!B10</f>
        <v>-1619752757.5440724</v>
      </c>
      <c r="D11" s="18">
        <f>-D6*Assumptions!B10</f>
        <v>-1810353493.7008722</v>
      </c>
      <c r="E11" s="18">
        <f>-E6*Assumptions!B10</f>
        <v>-2023382739.6745636</v>
      </c>
      <c r="F11" s="18">
        <f>-F6*Assumptions!B10</f>
        <v>-2261479719.545543</v>
      </c>
    </row>
    <row r="12" spans="1:6" x14ac:dyDescent="0.25">
      <c r="A12" t="s">
        <v>48</v>
      </c>
      <c r="B12" s="18">
        <f>-(B6-Assumptions!B29)*Assumptions!B11</f>
        <v>91520387.50746559</v>
      </c>
      <c r="C12" s="18">
        <f>-(C6-B6)*Assumptions!B11</f>
        <v>102289841.76585977</v>
      </c>
      <c r="D12" s="18">
        <f>-(D6-C6)*Assumptions!B11</f>
        <v>114326567.15566348</v>
      </c>
      <c r="E12" s="18">
        <f>-(E6-D6)*Assumptions!B11</f>
        <v>127779686.93623374</v>
      </c>
      <c r="F12" s="18">
        <f>-(F6-E6)*Assumptions!B11</f>
        <v>142815872.10862967</v>
      </c>
    </row>
    <row r="13" spans="1:6" x14ac:dyDescent="0.25">
      <c r="A13" s="19" t="s">
        <v>49</v>
      </c>
      <c r="B13" s="20">
        <f>B9+B10+B11+B12</f>
        <v>3139723837.4187183</v>
      </c>
      <c r="C13" s="20">
        <f>C9+C10+C11+C12</f>
        <v>3509183726.8702593</v>
      </c>
      <c r="D13" s="20">
        <f>D9+D10+D11+D12</f>
        <v>3922118971.7931166</v>
      </c>
      <c r="E13" s="20">
        <f>E9+E10+E11+E12</f>
        <v>4383645436.147958</v>
      </c>
      <c r="F13" s="20">
        <f>F9+F10+F11+F12</f>
        <v>4899480981.596912</v>
      </c>
    </row>
    <row r="14" spans="1:6" x14ac:dyDescent="0.25">
      <c r="A14" t="s">
        <v>50</v>
      </c>
      <c r="B14" s="21">
        <f>1/(1+Assumptions!$B$26)^(1-0.5*Assumptions!$B$32)</f>
        <v>0.960397249012776</v>
      </c>
      <c r="C14" s="21">
        <f>1/(1+Assumptions!$B$26)^(2-0.5*Assumptions!$B$32)</f>
        <v>0.8858347686167327</v>
      </c>
      <c r="D14" s="21">
        <f>1/(1+Assumptions!$B$26)^(3-0.5*Assumptions!$B$32)</f>
        <v>0.817061104763558</v>
      </c>
      <c r="E14" s="21">
        <f>1/(1+Assumptions!$B$26)^(4-0.5*Assumptions!$B$32)</f>
        <v>0.7536268303849859</v>
      </c>
      <c r="F14" s="21">
        <f>1/(1+Assumptions!$B$26)^(5-0.5*Assumptions!$B$32)</f>
        <v>0.6951174106378191</v>
      </c>
    </row>
    <row r="15" spans="1:6" x14ac:dyDescent="0.25">
      <c r="A15" s="19" t="s">
        <v>51</v>
      </c>
      <c r="B15" s="20">
        <f>B13*B14</f>
        <v>3015382136.1167736</v>
      </c>
      <c r="C15" s="20">
        <f>C13*C14</f>
        <v>3108556954.72572</v>
      </c>
      <c r="D15" s="20">
        <f>D13*D14</f>
        <v>3204610860.1073937</v>
      </c>
      <c r="E15" s="20">
        <f>E13*E14</f>
        <v>3303632815.5757947</v>
      </c>
      <c r="F15" s="20">
        <f>F13*F14</f>
        <v>3405714533.396886</v>
      </c>
    </row>
    <row r="17" spans="1:2" x14ac:dyDescent="0.25">
      <c r="A17" s="22" t="s">
        <v>52</v>
      </c>
      <c r="B17" s="23">
        <f>SUM(B15:F15)</f>
        <v>16037897299.922565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4899480981.596912</v>
      </c>
    </row>
    <row r="5" spans="1:2" x14ac:dyDescent="0.25">
      <c r="A5" t="s">
        <v>56</v>
      </c>
      <c r="B5" s="18">
        <f>IF(Assumptions!$B$33=0,B4,B4-Forecast!F11-Forecast!F10-Forecast!F12)</f>
        <v>5306953944.893802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0.28308010008944223</v>
      </c>
    </row>
    <row r="7" spans="1:2" x14ac:dyDescent="0.25">
      <c r="A7" t="s">
        <v>58</v>
      </c>
      <c r="B7" s="18">
        <f>-MAX(Forecast!F9,0)*B6</f>
        <v>-1502293053.8905976</v>
      </c>
    </row>
    <row r="8" spans="1:2" x14ac:dyDescent="0.25">
      <c r="A8" t="s">
        <v>59</v>
      </c>
      <c r="B8" s="18">
        <f>IF(OR(Assumptions!$B$33=0,Assumptions!B12&lt;=0),B5,MAX(B5+B7,0))</f>
        <v>3804660891.0032043</v>
      </c>
    </row>
    <row r="9" spans="1:2" x14ac:dyDescent="0.25">
      <c r="A9" t="s">
        <v>60</v>
      </c>
      <c r="B9" s="18">
        <f>B8*(1+Assumptions!B12)/(Assumptions!B26-Assumptions!B12)</f>
        <v>65905794837.516235</v>
      </c>
    </row>
    <row r="10" spans="1:2" x14ac:dyDescent="0.25">
      <c r="A10" t="s">
        <v>61</v>
      </c>
      <c r="B10" s="18">
        <f>B9/(1+Assumptions!B26)^(5-0.5*Assumptions!B32)</f>
        <v>45812265453.48163</v>
      </c>
    </row>
    <row r="11" spans="1:2" x14ac:dyDescent="0.25">
      <c r="A11" t="s">
        <v>62</v>
      </c>
      <c r="B11" s="18">
        <f>Forecast!B17+B10</f>
        <v>61850162753.40419</v>
      </c>
    </row>
    <row r="12" spans="1:2" x14ac:dyDescent="0.25">
      <c r="A12" t="s">
        <v>63</v>
      </c>
      <c r="B12" s="18">
        <f>-Assumptions!B30</f>
        <v>7534000000</v>
      </c>
    </row>
    <row r="13" spans="1:2" x14ac:dyDescent="0.25">
      <c r="A13" t="s">
        <v>64</v>
      </c>
      <c r="B13" s="18">
        <f>B11+B12</f>
        <v>69384162753.40419</v>
      </c>
    </row>
    <row r="14" spans="1:2" x14ac:dyDescent="0.25">
      <c r="A14" s="19" t="s">
        <v>65</v>
      </c>
      <c r="B14" s="24">
        <f>B13/Assumptions!B31</f>
        <v>574.2486116680532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8398383986.572199</v>
      </c>
    </row>
    <row r="18" spans="1:2" x14ac:dyDescent="0.25">
      <c r="A18" t="s">
        <v>60</v>
      </c>
      <c r="B18" s="18">
        <f>B17*Assumptions!B13</f>
        <v>108379372634.79544</v>
      </c>
    </row>
    <row r="19" spans="1:2" x14ac:dyDescent="0.25">
      <c r="A19" t="s">
        <v>61</v>
      </c>
      <c r="B19" s="18">
        <f>B18/(1+Assumptions!B26)^(5-0.5*Assumptions!B32)</f>
        <v>75336388872.45032</v>
      </c>
    </row>
    <row r="20" spans="1:2" x14ac:dyDescent="0.25">
      <c r="A20" t="s">
        <v>62</v>
      </c>
      <c r="B20" s="18">
        <f>Forecast!B17+B19</f>
        <v>91374286172.37288</v>
      </c>
    </row>
    <row r="21" spans="1:2" x14ac:dyDescent="0.25">
      <c r="A21" t="s">
        <v>63</v>
      </c>
      <c r="B21" s="18">
        <f>-Assumptions!B30</f>
        <v>7534000000</v>
      </c>
    </row>
    <row r="22" spans="1:2" x14ac:dyDescent="0.25">
      <c r="A22" t="s">
        <v>64</v>
      </c>
      <c r="B22" s="18">
        <f>B20+B21</f>
        <v>98908286172.37288</v>
      </c>
    </row>
    <row r="23" spans="1:2" x14ac:dyDescent="0.25">
      <c r="A23" s="19" t="s">
        <v>65</v>
      </c>
      <c r="B23" s="25">
        <f>B22/Assumptions!B31</f>
        <v>818.6010144536183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386.22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574.2486116680532</v>
      </c>
    </row>
    <row r="29" spans="1:2" x14ac:dyDescent="0.25">
      <c r="A29" s="19" t="s">
        <v>73</v>
      </c>
      <c r="B29" s="12">
        <f>B28/B26-1</f>
        <v>0.48684328017206036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0.064172</v>
      </c>
      <c r="B5" s="31">
        <v>770.5221469597949</v>
      </c>
      <c r="C5" s="31">
        <v>794.6346263107234</v>
      </c>
      <c r="D5" s="31">
        <v>824.4228064516756</v>
      </c>
      <c r="E5" s="31">
        <v>862.3780695625162</v>
      </c>
      <c r="F5" s="31">
        <v>912.6998618433117</v>
      </c>
    </row>
    <row r="6" spans="1:6" x14ac:dyDescent="0.25">
      <c r="A6" s="30">
        <v>0.074172</v>
      </c>
      <c r="B6" s="31">
        <v>651.5619619179098</v>
      </c>
      <c r="C6" s="31">
        <v>661.90479787779</v>
      </c>
      <c r="D6" s="31">
        <v>673.9845331728384</v>
      </c>
      <c r="E6" s="31">
        <v>688.3909869198607</v>
      </c>
      <c r="F6" s="31">
        <v>706.015121458783</v>
      </c>
    </row>
    <row r="7" spans="1:6" x14ac:dyDescent="0.25">
      <c r="A7" s="30">
        <v>0.084172</v>
      </c>
      <c r="B7" s="31">
        <v>566.9983419330314</v>
      </c>
      <c r="C7" s="31">
        <v>570.4756872138146</v>
      </c>
      <c r="D7" s="32">
        <v>574.248576571858</v>
      </c>
      <c r="E7" s="31">
        <v>578.3988449248113</v>
      </c>
      <c r="F7" s="31">
        <v>583.04161235979</v>
      </c>
    </row>
    <row r="8" spans="1:6" x14ac:dyDescent="0.25">
      <c r="A8" s="30">
        <v>0.094172</v>
      </c>
      <c r="B8" s="31">
        <v>507.7665123250893</v>
      </c>
      <c r="C8" s="31">
        <v>509.3219332769885</v>
      </c>
      <c r="D8" s="31">
        <v>510.8773542288877</v>
      </c>
      <c r="E8" s="31">
        <v>512.432775180787</v>
      </c>
      <c r="F8" s="31">
        <v>513.9881961326862</v>
      </c>
    </row>
    <row r="9" spans="1:6" x14ac:dyDescent="0.25">
      <c r="A9" s="30">
        <v>0.104172</v>
      </c>
      <c r="B9" s="31">
        <v>463.0517116698485</v>
      </c>
      <c r="C9" s="31">
        <v>464.4014159895532</v>
      </c>
      <c r="D9" s="31">
        <v>465.7511203092577</v>
      </c>
      <c r="E9" s="31">
        <v>467.1008246289623</v>
      </c>
      <c r="F9" s="31">
        <v>468.4505289486669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129664000000</v>
      </c>
      <c r="C5" s="18">
        <v>117761000000</v>
      </c>
      <c r="D5" s="18">
        <v>106374000000</v>
      </c>
      <c r="E5" s="18">
        <v>92870000000</v>
      </c>
      <c r="F5" s="8" t="s">
        <v>84</v>
      </c>
    </row>
    <row r="6" spans="1:6" x14ac:dyDescent="0.25">
      <c r="A6" t="s">
        <v>44</v>
      </c>
      <c r="B6" s="18">
        <v>2186000000</v>
      </c>
      <c r="C6" s="18">
        <v>2381000000</v>
      </c>
      <c r="D6" s="18">
        <v>3876000000</v>
      </c>
      <c r="E6" s="18">
        <v>3969000000</v>
      </c>
      <c r="F6" s="8" t="s">
        <v>85</v>
      </c>
    </row>
    <row r="7" spans="1:6" x14ac:dyDescent="0.25">
      <c r="A7" t="s">
        <v>86</v>
      </c>
      <c r="B7" s="18">
        <v>824000000</v>
      </c>
      <c r="C7" s="18">
        <v>968000000</v>
      </c>
      <c r="D7" s="18">
        <v>917000000</v>
      </c>
      <c r="E7" s="18">
        <v>845000000</v>
      </c>
      <c r="F7" s="8" t="s">
        <v>87</v>
      </c>
    </row>
    <row r="8" spans="1:6" x14ac:dyDescent="0.25">
      <c r="A8" t="s">
        <v>88</v>
      </c>
      <c r="B8" s="18">
        <v>546000000</v>
      </c>
      <c r="C8" s="18">
        <v>575000000</v>
      </c>
      <c r="D8" s="18">
        <v>1004000000</v>
      </c>
      <c r="E8" s="18">
        <v>1137000000</v>
      </c>
      <c r="F8" s="8" t="s">
        <v>89</v>
      </c>
    </row>
    <row r="9" spans="1:6" x14ac:dyDescent="0.25">
      <c r="A9" t="s">
        <v>90</v>
      </c>
      <c r="B9" s="18">
        <v>1797000000</v>
      </c>
      <c r="C9" s="18">
        <v>-154000000</v>
      </c>
      <c r="D9" s="18">
        <v>-81000000</v>
      </c>
      <c r="E9" s="18">
        <v>-534000000</v>
      </c>
      <c r="F9" s="8" t="s">
        <v>91</v>
      </c>
    </row>
    <row r="10" spans="1:6" x14ac:dyDescent="0.25">
      <c r="A10" t="s">
        <v>92</v>
      </c>
      <c r="B10" s="18">
        <v>12369000000</v>
      </c>
      <c r="C10" s="18">
        <v>11721000000</v>
      </c>
      <c r="D10" s="18">
        <v>11656000000</v>
      </c>
      <c r="E10" s="18">
        <v>11126000000</v>
      </c>
      <c r="F10" s="8" t="s">
        <v>93</v>
      </c>
    </row>
    <row r="11" spans="1:6" x14ac:dyDescent="0.25">
      <c r="A11" t="s">
        <v>94</v>
      </c>
      <c r="B11" s="18">
        <v>19903000000</v>
      </c>
      <c r="C11" s="18">
        <v>20435000000</v>
      </c>
      <c r="D11" s="18">
        <v>21320000000</v>
      </c>
      <c r="E11" s="18">
        <v>18942000000</v>
      </c>
      <c r="F11" s="8" t="s">
        <v>95</v>
      </c>
    </row>
    <row r="12" spans="1:6" x14ac:dyDescent="0.25">
      <c r="A12" t="s">
        <v>32</v>
      </c>
      <c r="B12" s="34">
        <v>120826000</v>
      </c>
      <c r="C12" s="34">
        <v>120869000</v>
      </c>
      <c r="D12" s="34">
        <v>124441000</v>
      </c>
      <c r="E12" s="34">
        <v>127094000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2026-09-19T00:07:50Z</dcterms:modified>
</cp:coreProperties>
</file>