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<sst xmlns="http://schemas.openxmlformats.org/spreadsheetml/2006/main" count="120" uniqueCount="107">
  <si>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Humana Inc. (HUM)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</si>
  <si>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</si>
  <si>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</si>
  <si>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</si>
  <si>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</si>
  <si>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</si>
  <si>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</si>
  <si>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</si>
  <si>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</si>
  <si>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</si>
  <si>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</si>
  <si>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</si>
  <si>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</si>
  <si>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</si>
  <si>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</si>
  <si>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</si>
  <si>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</si>
  <si>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</si>
  <si>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</si>
  <si>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</si>
  <si>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</si>
  <si>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</si>
  <si>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</si>
  <si>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</si>
  <si>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3.5x interest cover. Book interest / average debt was lower, at 5.2%.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</si>
  <si>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</si>
  <si>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</si>
  <si>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</si>
  <si>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</si>
  <si>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</si>
  <si>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</si>
  <si>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</si>
  <si>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</si>
  <si>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</si>
  <si>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</si>
  <si>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</si>
  <si>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</si>
  <si>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</si>
  <si>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</si>
  <si>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</si>
  <si>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</si>
  <si>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</si>
  <si>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</si>
  <si>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</si>
  <si>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</si>
  <si>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</si>
  <si>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</si>
  <si>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</si>
  <si>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</si>
  <si>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</si>
  <si>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</si>
  <si>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</si>
  <si>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</si>
  <si>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</si>
  <si>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</si>
  <si>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</si>
  <si>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</si>
  <si>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</si>
  <si>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</si>
  <si>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</si>
  <si>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</si>
  <si>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</si>
  <si>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</si>
  <si>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</si>
  <si>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</si>
  <si>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</si>
  <si>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</si>
  <si>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</si>
  <si>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</si>
  <si>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</si>
  <si>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</si>
  <si>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</si>
  <si>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</si>
  <si>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</si>
  <si>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</si>
  <si>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</si>
  <si>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</si>
  <si>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</si>
  <si>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</si>
  <si>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</si>
  <si>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</si>
  <si>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</si>
  <si>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</si>
  <si>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</si>
  <si>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</si>
  <si>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</si>
  <si>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</si>
  <si>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</si>
  <si>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</si>
  <si>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</si>
  <si>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</si>
  <si>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</si>
  <si>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</si>
  <si>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</si>
  <si>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</si>
  <si>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</si>
  <si>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</si>
  <si>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</si>
  <si>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</si>
  <si>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</si>
  <si>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</si>
  <si>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</si>
  <si>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</si>
  <si>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</si>
  <si>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</si>
  <si>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0.77%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</si>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</sst>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0.25512447772704827</v>
      </c>
    </row>
    <row r="7" spans="1:2" x14ac:dyDescent="0.25">
      <c r="A7" t="s">
        <v>4</v>
      </c>
      <c r="B7" s="5">
        <v>0.029063127827518975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0.008073548278777924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-0.1242395961165536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14.03298517475083</v>
      </c>
    </row>
    <row r="14" spans="1:3" x14ac:dyDescent="0.25">
      <c r="A14" t="s">
        <v>12</v>
      </c>
      <c r="B14" s="5">
        <v>0.08831422622819823</v>
      </c>
      <c r="C14" s="6" t="s">
        <v>13</v>
      </c>
    </row>
    <row r="15" spans="1:3" x14ac:dyDescent="0.25">
      <c r="A15" t="s">
        <v>14</v>
      </c>
      <c r="B15" s="5">
        <v>0.007431951525638223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0.82848</v>
      </c>
      <c r="C19" s="6" t="s">
        <v>21</v>
      </c>
    </row>
    <row r="20" spans="1:2" x14ac:dyDescent="0.25">
      <c r="A20" t="s">
        <v>22</v>
      </c>
      <c r="B20" s="9">
        <f>B17+B19*B18</f>
        <v>0.083984704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49773285376</v>
      </c>
    </row>
    <row r="23" spans="1:2" x14ac:dyDescent="0.25">
      <c r="A23" t="s">
        <v>26</v>
      </c>
      <c r="B23" s="10">
        <v>12369000000</v>
      </c>
    </row>
    <row r="24" spans="1:2" x14ac:dyDescent="0.25">
      <c r="A24" t="s">
        <v>27</v>
      </c>
      <c r="B24" s="9">
        <f>B22/(B22+B23)</f>
        <v>0.8009567893237309</v>
      </c>
    </row>
    <row r="25" spans="1:2" x14ac:dyDescent="0.25">
      <c r="A25" t="s">
        <v>28</v>
      </c>
      <c r="B25" s="9">
        <f>1-B24</f>
        <v>0.19904321067626907</v>
      </c>
    </row>
    <row r="26" spans="1:2" x14ac:dyDescent="0.25">
      <c r="A26" t="s">
        <v>29</v>
      </c>
      <c r="B26" s="11">
        <f>B24*B20+B25*B21*(1-B8)</f>
        <v>0.07636311971950106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129664000000</v>
      </c>
      <c r="C29" s="6" t="s">
        <v>32</v>
      </c>
    </row>
    <row r="30" spans="1:2" x14ac:dyDescent="0.25">
      <c r="A30" t="s">
        <v>33</v>
      </c>
      <c r="B30" s="10">
        <v>-7534000000</v>
      </c>
    </row>
    <row r="31" spans="1:2" x14ac:dyDescent="0.25">
      <c r="A31" t="s">
        <v>34</v>
      </c>
      <c r="B31" s="12">
        <v>120826000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0.25512447772704827</v>
      </c>
      <c r="C5" s="5">
        <v>0.036524833470663376</v>
      </c>
      <c r="D5" s="5">
        <v>0.03508422928683046</v>
      </c>
      <c r="E5" s="5">
        <v>0.03364362510299753</v>
      </c>
      <c r="F5" s="5">
        <v>0.03220302091916461</v>
      </c>
      <c r="G5" s="5">
        <v>0.03076241673533169</v>
      </c>
      <c r="H5" s="5">
        <v>0.029321812551498766</v>
      </c>
      <c r="I5" s="5">
        <v>0.027881208367665847</v>
      </c>
      <c r="J5" s="5">
        <v>0.026440604183832924</v>
      </c>
      <c r="K5" s="5">
        <v>0.025</v>
      </c>
    </row>
    <row r="6" spans="1:11" x14ac:dyDescent="0.25">
      <c r="A6" t="s">
        <v>50</v>
      </c>
      <c r="B6" s="18">
        <f>Assumptions!B29*(1+B5)</f>
        <v>162744460280</v>
      </c>
      <c r="C6" s="18">
        <f>B6*(1+C5)</f>
        <v>168688674590</v>
      </c>
      <c r="D6" s="18">
        <f>C6*(1+D5)</f>
        <v>174606986727.4071</v>
      </c>
      <c r="E6" s="18">
        <f>D6*(1+E5)</f>
        <v>180481398729.22803</v>
      </c>
      <c r="F6" s="18">
        <f>E6*(1+F5)</f>
        <v>186293444988.02545</v>
      </c>
      <c r="G6" s="18">
        <f>F6*(1+G5)</f>
        <v>192024281577.80768</v>
      </c>
      <c r="H6" s="18">
        <f>G6*(1+H5)</f>
        <v>197654781567.56836</v>
      </c>
      <c r="I6" s="18">
        <f>H6*(1+I5)</f>
        <v>203165635717.3192</v>
      </c>
      <c r="J6" s="18">
        <f>I6*(1+J5)</f>
        <v>208537457875.07767</v>
      </c>
      <c r="K6" s="18">
        <f>J6*(1+K5)</f>
        <v>213750894321.9546</v>
      </c>
    </row>
    <row r="7" spans="1:11" x14ac:dyDescent="0.25">
      <c r="A7" t="s">
        <v>4</v>
      </c>
      <c r="B7" s="9">
        <f>Assumptions!B7</f>
        <v>0.029063127827518975</v>
      </c>
      <c r="C7" s="9">
        <f>Assumptions!B7</f>
        <v>0.029063127827518975</v>
      </c>
      <c r="D7" s="9">
        <f>Assumptions!B7</f>
        <v>0.029063127827518975</v>
      </c>
      <c r="E7" s="9">
        <f>Assumptions!B7</f>
        <v>0.029063127827518975</v>
      </c>
      <c r="F7" s="9">
        <f>Assumptions!B7</f>
        <v>0.029063127827518975</v>
      </c>
      <c r="G7" s="9">
        <f>Assumptions!B7</f>
        <v>0.029063127827518975</v>
      </c>
      <c r="H7" s="9">
        <f>Assumptions!B7</f>
        <v>0.029063127827518975</v>
      </c>
      <c r="I7" s="9">
        <f>Assumptions!B7</f>
        <v>0.029063127827518975</v>
      </c>
      <c r="J7" s="9">
        <f>Assumptions!B7</f>
        <v>0.029063127827518975</v>
      </c>
      <c r="K7" s="9">
        <f>Assumptions!B7</f>
        <v>0.029063127827518975</v>
      </c>
    </row>
    <row r="8" spans="1:11" x14ac:dyDescent="0.25">
      <c r="A8" t="s">
        <v>51</v>
      </c>
      <c r="B8" s="18">
        <f>B6*B7</f>
        <v>4729863052.338224</v>
      </c>
      <c r="C8" s="18">
        <f>C6*C7</f>
        <v>4902620512.663922</v>
      </c>
      <c r="D8" s="18">
        <f>D6*D7</f>
        <v>5074625174.836542</v>
      </c>
      <c r="E8" s="18">
        <f>E6*E7</f>
        <v>5245353961.756975</v>
      </c>
      <c r="F8" s="18">
        <f>F6*F7</f>
        <v>5414270205.115858</v>
      </c>
      <c r="G8" s="18">
        <f>G6*G7</f>
        <v>5580826241.483321</v>
      </c>
      <c r="H8" s="18">
        <f>H6*H7</f>
        <v>5744466182.41858</v>
      </c>
      <c r="I8" s="18">
        <f>I6*I7</f>
        <v>5904628841.011603</v>
      </c>
      <c r="J8" s="18">
        <f>J6*J7</f>
        <v>6060750795.049235</v>
      </c>
      <c r="K8" s="18">
        <f>K6*K7</f>
        <v>6212269564.925466</v>
      </c>
    </row>
    <row r="9" spans="1:11" x14ac:dyDescent="0.25">
      <c r="A9" t="s">
        <v>52</v>
      </c>
      <c r="B9" s="18">
        <f>B8*(1-Assumptions!B8)</f>
        <v>3736591811.3471975</v>
      </c>
      <c r="C9" s="18">
        <f>C8*(1-Assumptions!B8)</f>
        <v>3873070205.004499</v>
      </c>
      <c r="D9" s="18">
        <f>D8*(1-Assumptions!B8)</f>
        <v>4008953888.1208687</v>
      </c>
      <c r="E9" s="18">
        <f>E8*(1-Assumptions!B8)</f>
        <v>4143829629.7880106</v>
      </c>
      <c r="F9" s="18">
        <f>F8*(1-Assumptions!B8)</f>
        <v>4277273462.041528</v>
      </c>
      <c r="G9" s="18">
        <f>G8*(1-Assumptions!B8)</f>
        <v>4408852730.771824</v>
      </c>
      <c r="H9" s="18">
        <f>H8*(1-Assumptions!B8)</f>
        <v>4538128284.110679</v>
      </c>
      <c r="I9" s="18">
        <f>I8*(1-Assumptions!B8)</f>
        <v>4664656784.399167</v>
      </c>
      <c r="J9" s="18">
        <f>J8*(1-Assumptions!B8)</f>
        <v>4787993128.088896</v>
      </c>
      <c r="K9" s="18">
        <f>K8*(1-Assumptions!B8)</f>
        <v>4907692956.291118</v>
      </c>
    </row>
    <row r="10" spans="1:11" x14ac:dyDescent="0.25">
      <c r="A10" t="s">
        <v>53</v>
      </c>
      <c r="B10" s="18">
        <f>B6*Assumptions!B9</f>
        <v>1313925257.1742363</v>
      </c>
      <c r="C10" s="18">
        <f>C6*Assumptions!B9</f>
        <v>1361916158.385424</v>
      </c>
      <c r="D10" s="18">
        <f>D6*Assumptions!B9</f>
        <v>1409697937.1556575</v>
      </c>
      <c r="E10" s="18">
        <f>E6*Assumptions!B9</f>
        <v>1457125286.0617912</v>
      </c>
      <c r="F10" s="18">
        <f>F6*Assumptions!B9</f>
        <v>1504049122.1306827</v>
      </c>
      <c r="G10" s="18">
        <f>G6*Assumptions!B9</f>
        <v>1550317308.0160766</v>
      </c>
      <c r="H10" s="18">
        <f>H6*Assumptions!B9</f>
        <v>1595775421.5170681</v>
      </c>
      <c r="I10" s="18">
        <f>I6*Assumptions!B9</f>
        <v>1640267568.5523853</v>
      </c>
      <c r="J10" s="18">
        <f>J6*Assumptions!B9</f>
        <v>1683637234.0880573</v>
      </c>
      <c r="K10" s="18">
        <f>K6*Assumptions!B9</f>
        <v>1725728164.9402585</v>
      </c>
    </row>
    <row r="11" spans="1:11" x14ac:dyDescent="0.25">
      <c r="A11" t="s">
        <v>54</v>
      </c>
      <c r="B11" s="18">
        <f>-B6*B19</f>
        <v>-1627444602.8</v>
      </c>
      <c r="C11" s="18">
        <f>-C6*C19</f>
        <v>-1763263663.8268452</v>
      </c>
      <c r="D11" s="18">
        <f>-D6*D19</f>
        <v>-1904182953.7292953</v>
      </c>
      <c r="E11" s="18">
        <f>-E6*E19</f>
        <v>-2049962863.0819826</v>
      </c>
      <c r="F11" s="18">
        <f>-F6*F19</f>
        <v>-2200325663.433678</v>
      </c>
      <c r="G11" s="18">
        <f>-G6*G19</f>
        <v>-2354955544.112569</v>
      </c>
      <c r="H11" s="18">
        <f>-H6*H19</f>
        <v>-2513498967.8378434</v>
      </c>
      <c r="I11" s="18">
        <f>-I6*I19</f>
        <v>-2675565356.145185</v>
      </c>
      <c r="J11" s="18">
        <f>-J6*J19</f>
        <v>-2840728112.4013133</v>
      </c>
      <c r="K11" s="18">
        <f>-K6*K19</f>
        <v>-3008525986.710321</v>
      </c>
    </row>
    <row r="12" spans="1:11" x14ac:dyDescent="0.25">
      <c r="A12" t="s">
        <v>55</v>
      </c>
      <c r="B12" s="18">
        <f>-(B6-Assumptions!B29)*Assumptions!B11</f>
        <v>4109903024.5368934</v>
      </c>
      <c r="C12" s="18">
        <f>-(C6-B6)*Assumptions!B11</f>
        <v>738506785.1046383</v>
      </c>
      <c r="D12" s="18">
        <f>-(D6-C6)*Assumptions!B11</f>
        <v>735288709.6431557</v>
      </c>
      <c r="E12" s="18">
        <f>-(E6-D6)*Assumptions!B11</f>
        <v>729834574.5284666</v>
      </c>
      <c r="F12" s="18">
        <f>-(F6-E6)*Assumptions!B11</f>
        <v>722086279.8037183</v>
      </c>
      <c r="G12" s="18">
        <f>-(G6-F6)*Assumptions!B11</f>
        <v>711996823.3245112</v>
      </c>
      <c r="H12" s="18">
        <f>-(H6-G6)*Assumptions!B11</f>
        <v>699531044.6621262</v>
      </c>
      <c r="I12" s="18">
        <f>-(I6-H6)*Assumptions!B11</f>
        <v>684666293.8222796</v>
      </c>
      <c r="J12" s="18">
        <f>-(J6-I6)*Assumptions!B11</f>
        <v>667393015.2898637</v>
      </c>
      <c r="K12" s="18">
        <f>-(K6-J6)*Assumptions!B11</f>
        <v>647715238.539309</v>
      </c>
    </row>
    <row r="13" spans="1:11" x14ac:dyDescent="0.25">
      <c r="A13" s="19" t="s">
        <v>56</v>
      </c>
      <c r="B13" s="20">
        <f>B9+B10+B11+B12</f>
        <v>7532975490.2583275</v>
      </c>
      <c r="C13" s="20">
        <f>C9+C10+C11+C12</f>
        <v>4210229484.667716</v>
      </c>
      <c r="D13" s="20">
        <f>D9+D10+D11+D12</f>
        <v>4249757581.190387</v>
      </c>
      <c r="E13" s="20">
        <f>E9+E10+E11+E12</f>
        <v>4280826627.296286</v>
      </c>
      <c r="F13" s="20">
        <f>F9+F10+F11+F12</f>
        <v>4303083200.542251</v>
      </c>
      <c r="G13" s="20">
        <f>G9+G10+G11+G12</f>
        <v>4316211317.999844</v>
      </c>
      <c r="H13" s="20">
        <f>H9+H10+H11+H12</f>
        <v>4319935782.452029</v>
      </c>
      <c r="I13" s="20">
        <f>I9+I10+I11+I12</f>
        <v>4314025290.628647</v>
      </c>
      <c r="J13" s="20">
        <f>J9+J10+J11+J12</f>
        <v>4298295265.065504</v>
      </c>
      <c r="K13" s="20">
        <f>K9+K10+K11+K12</f>
        <v>4272610373.0603647</v>
      </c>
    </row>
    <row r="14" spans="1:11" x14ac:dyDescent="0.25">
      <c r="A14" t="s">
        <v>57</v>
      </c>
      <c r="B14" s="21">
        <f>1/(1+Assumptions!$B$26)^(1-0.5*Assumptions!$B$32)</f>
        <v>0.963874732520377</v>
      </c>
      <c r="C14" s="21">
        <f>1/(1+Assumptions!$B$26)^(2-0.5*Assumptions!$B$32)</f>
        <v>0.895492157675898</v>
      </c>
      <c r="D14" s="21">
        <f>1/(1+Assumptions!$B$26)^(3-0.5*Assumptions!$B$32)</f>
        <v>0.8319610187956478</v>
      </c>
      <c r="E14" s="21">
        <f>1/(1+Assumptions!$B$26)^(4-0.5*Assumptions!$B$32)</f>
        <v>0.7729371283293838</v>
      </c>
      <c r="F14" s="21">
        <f>1/(1+Assumptions!$B$26)^(5-0.5*Assumptions!$B$32)</f>
        <v>0.7181007172847117</v>
      </c>
      <c r="G14" s="21">
        <f>1/(1+Assumptions!$B$26)^(6-0.5*Assumptions!$B$32)</f>
        <v>0.6671547028402903</v>
      </c>
      <c r="H14" s="21">
        <f>1/(1+Assumptions!$B$26)^(7-0.5*Assumptions!$B$32)</f>
        <v>0.6198230788640825</v>
      </c>
      <c r="I14" s="21">
        <f>1/(1+Assumptions!$B$26)^(8-0.5*Assumptions!$B$32)</f>
        <v>0.5758494206170941</v>
      </c>
      <c r="J14" s="21">
        <f>1/(1+Assumptions!$B$26)^(9-0.5*Assumptions!$B$32)</f>
        <v>0.5349954955416529</v>
      </c>
      <c r="K14" s="21">
        <f>1/(1+Assumptions!$B$26)^(10-0.5*Assumptions!$B$32)</f>
        <v>0.4970399726080099</v>
      </c>
    </row>
    <row r="15" spans="1:11" x14ac:dyDescent="0.25">
      <c r="A15" s="19" t="s">
        <v>58</v>
      </c>
      <c r="B15" s="20">
        <f>B13*B14</f>
        <v>7260844735.755301</v>
      </c>
      <c r="C15" s="20">
        <f>C13*C14</f>
        <v>3770227485.535777</v>
      </c>
      <c r="D15" s="20">
        <f>D13*D14</f>
        <v>3535632646.881682</v>
      </c>
      <c r="E15" s="20">
        <f>E13*E14</f>
        <v>3308809840.178353</v>
      </c>
      <c r="F15" s="20">
        <f>F13*F14</f>
        <v>3090047132.845183</v>
      </c>
      <c r="G15" s="20">
        <f>G13*G14</f>
        <v>2879580679.2560835</v>
      </c>
      <c r="H15" s="20">
        <f>H13*H14</f>
        <v>2677595897.174536</v>
      </c>
      <c r="I15" s="20">
        <f>I13*I14</f>
        <v>2484228964.1359973</v>
      </c>
      <c r="J15" s="20">
        <f>J13*J14</f>
        <v>2299568605.31806</v>
      </c>
      <c r="K15" s="20">
        <f>K13*K14</f>
        <v>2123658142.7906227</v>
      </c>
    </row>
    <row r="17" spans="1:2" x14ac:dyDescent="0.25">
      <c r="A17" s="22" t="s">
        <v>59</v>
      </c>
      <c r="B17" s="23">
        <f>SUM(B15:K15)</f>
        <v>33430194129.8716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0.010452768498611304</v>
      </c>
      <c r="D19" s="9">
        <f>Assumptions!$B$10+($B$20-Assumptions!$B$10)*2/9</f>
        <v>0.010905536997222609</v>
      </c>
      <c r="E19" s="9">
        <f>Assumptions!$B$10+($B$20-Assumptions!$B$10)*3/9</f>
        <v>0.011358305495833913</v>
      </c>
      <c r="F19" s="9">
        <f>Assumptions!$B$10+($B$20-Assumptions!$B$10)*4/9</f>
        <v>0.011811073994445217</v>
      </c>
      <c r="G19" s="9">
        <f>Assumptions!$B$10+($B$20-Assumptions!$B$10)*5/9</f>
        <v>0.012263842493056523</v>
      </c>
      <c r="H19" s="9">
        <f>Assumptions!$B$10+($B$20-Assumptions!$B$10)*6/9</f>
        <v>0.012716610991667827</v>
      </c>
      <c r="I19" s="9">
        <f>Assumptions!$B$10+($B$20-Assumptions!$B$10)*7/9</f>
        <v>0.013169379490279132</v>
      </c>
      <c r="J19" s="9">
        <f>Assumptions!$B$10+($B$20-Assumptions!$B$10)*8/9</f>
        <v>0.013622147988890436</v>
      </c>
      <c r="K19" s="9">
        <f>Assumptions!$B$10+($B$20-Assumptions!$B$10)*9/9</f>
        <v>0.01407491648750174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0.01407491648750174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4272610373.0603647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5016035041.31548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0.28308010008944223</v>
      </c>
    </row>
    <row r="7" spans="1:2" x14ac:dyDescent="0.25">
      <c r="A7" t="s">
        <v>66</v>
      </c>
      <c r="B7" s="18">
        <f>-MAX(B5,0)*B6</f>
        <v>-1419939701.5477357</v>
      </c>
    </row>
    <row r="8" spans="1:2" x14ac:dyDescent="0.25">
      <c r="A8" t="s">
        <v>67</v>
      </c>
      <c r="B8" s="18">
        <f>IF(OR(Assumptions!$B$33=0,Assumptions!B12&lt;=0),B5,MAX(B5+B7,0))</f>
        <v>3596095339.7677445</v>
      </c>
    </row>
    <row r="9" spans="1:2" x14ac:dyDescent="0.25">
      <c r="A9" t="s">
        <v>68</v>
      </c>
      <c r="B9" s="18">
        <f>B8*(1+Assumptions!B12)/(Assumptions!B26-Assumptions!B12)</f>
        <v>71763509369.98232</v>
      </c>
    </row>
    <row r="10" spans="1:2" x14ac:dyDescent="0.25">
      <c r="A10" t="s">
        <v>69</v>
      </c>
      <c r="B10" s="18">
        <f>B9/(1+Assumptions!B26)^(10-0.5*Assumptions!B32)</f>
        <v>35669332731.51067</v>
      </c>
    </row>
    <row r="11" spans="1:2" x14ac:dyDescent="0.25">
      <c r="A11" t="s">
        <v>70</v>
      </c>
      <c r="B11" s="18">
        <f>Forecast!B17+B10</f>
        <v>69099526861.38228</v>
      </c>
    </row>
    <row r="12" spans="1:2" x14ac:dyDescent="0.25">
      <c r="A12" t="s">
        <v>71</v>
      </c>
      <c r="B12" s="18">
        <f>-Assumptions!B30</f>
        <v>7534000000</v>
      </c>
    </row>
    <row r="13" spans="1:2" x14ac:dyDescent="0.25">
      <c r="A13" t="s">
        <v>72</v>
      </c>
      <c r="B13" s="18">
        <f>B11+B12</f>
        <v>76633526861.38228</v>
      </c>
    </row>
    <row r="14" spans="1:2" x14ac:dyDescent="0.25">
      <c r="A14" s="19" t="s">
        <v>73</v>
      </c>
      <c r="B14" s="24">
        <f>B13/Assumptions!B31</f>
        <v>634.2469903943048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7937997729.865725</v>
      </c>
    </row>
    <row r="18" spans="1:2" x14ac:dyDescent="0.25">
      <c r="A18" t="s">
        <v>68</v>
      </c>
      <c r="B18" s="18">
        <f>B17*Assumptions!B13</f>
        <v>111393804460.41147</v>
      </c>
    </row>
    <row r="19" spans="1:2" x14ac:dyDescent="0.25">
      <c r="A19" t="s">
        <v>69</v>
      </c>
      <c r="B19" s="18">
        <f>B18/(1+Assumptions!B26)^(10-0.5*Assumptions!B32)</f>
        <v>55367173517.704926</v>
      </c>
    </row>
    <row r="20" spans="1:2" x14ac:dyDescent="0.25">
      <c r="A20" t="s">
        <v>70</v>
      </c>
      <c r="B20" s="18">
        <f>Forecast!B17+B19</f>
        <v>88797367647.57652</v>
      </c>
    </row>
    <row r="21" spans="1:2" x14ac:dyDescent="0.25">
      <c r="A21" t="s">
        <v>71</v>
      </c>
      <c r="B21" s="18">
        <f>-Assumptions!B30</f>
        <v>7534000000</v>
      </c>
    </row>
    <row r="22" spans="1:2" x14ac:dyDescent="0.25">
      <c r="A22" t="s">
        <v>72</v>
      </c>
      <c r="B22" s="18">
        <f>B20+B21</f>
        <v>96331367647.57652</v>
      </c>
    </row>
    <row r="23" spans="1:2" x14ac:dyDescent="0.25">
      <c r="A23" s="19" t="s">
        <v>73</v>
      </c>
      <c r="B23" s="25">
        <f>B22/Assumptions!B31</f>
        <v>797.2734978198113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414.5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634.2469903943048</v>
      </c>
    </row>
    <row r="29" spans="1:2" x14ac:dyDescent="0.25">
      <c r="A29" s="19" t="s">
        <v>81</v>
      </c>
      <c r="B29" s="11">
        <f>B28/B26-1</f>
        <v>0.5301495546304096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0.056363</v>
      </c>
      <c r="B5" s="31">
        <v>878.6755981894673</v>
      </c>
      <c r="C5" s="31">
        <v>903.8723605552074</v>
      </c>
      <c r="D5" s="31">
        <v>939.0582066886914</v>
      </c>
      <c r="E5" s="31">
        <v>989.916717992497</v>
      </c>
      <c r="F5" s="31">
        <v>1067.4524339767504</v>
      </c>
    </row>
    <row r="6" spans="1:6" x14ac:dyDescent="0.25">
      <c r="A6" s="30">
        <v>0.066363</v>
      </c>
      <c r="B6" s="31">
        <v>733.816908585685</v>
      </c>
      <c r="C6" s="31">
        <v>740.5728184299812</v>
      </c>
      <c r="D6" s="31">
        <v>750.3624187431914</v>
      </c>
      <c r="E6" s="31">
        <v>764.437128743579</v>
      </c>
      <c r="F6" s="31">
        <v>784.8463902991941</v>
      </c>
    </row>
    <row r="7" spans="1:6" x14ac:dyDescent="0.25">
      <c r="A7" s="30">
        <v>0.076363</v>
      </c>
      <c r="B7" s="31">
        <v>635.6645919798749</v>
      </c>
      <c r="C7" s="31">
        <v>634.5333718689312</v>
      </c>
      <c r="D7" s="32">
        <v>634.2481148896795</v>
      </c>
      <c r="E7" s="31">
        <v>635.0825187531261</v>
      </c>
      <c r="F7" s="31">
        <v>637.4426205610396</v>
      </c>
    </row>
    <row r="8" spans="1:6" x14ac:dyDescent="0.25">
      <c r="A8" s="30">
        <v>0.086363</v>
      </c>
      <c r="B8" s="31">
        <v>564.6247614213075</v>
      </c>
      <c r="C8" s="31">
        <v>559.9216078469332</v>
      </c>
      <c r="D8" s="31">
        <v>555.296500914713</v>
      </c>
      <c r="E8" s="31">
        <v>550.7702113365026</v>
      </c>
      <c r="F8" s="31">
        <v>546.3715976351714</v>
      </c>
    </row>
    <row r="9" spans="1:6" x14ac:dyDescent="0.25">
      <c r="A9" s="30">
        <v>0.096363</v>
      </c>
      <c r="B9" s="31">
        <v>515.2738941595953</v>
      </c>
      <c r="C9" s="31">
        <v>510.7760283633536</v>
      </c>
      <c r="D9" s="31">
        <v>506.2781625671118</v>
      </c>
      <c r="E9" s="31">
        <v>501.78029677087005</v>
      </c>
      <c r="F9" s="31">
        <v>497.2824309746282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129664000000</v>
      </c>
      <c r="C5" s="18">
        <v>117761000000</v>
      </c>
      <c r="D5" s="18">
        <v>106374000000</v>
      </c>
      <c r="E5" s="18">
        <v>92870000000</v>
      </c>
      <c r="F5" s="6" t="s">
        <v>91</v>
      </c>
    </row>
    <row r="6" spans="1:6" x14ac:dyDescent="0.25">
      <c r="A6" t="s">
        <v>51</v>
      </c>
      <c r="B6" s="18">
        <v>2186000000</v>
      </c>
      <c r="C6" s="18">
        <v>2381000000</v>
      </c>
      <c r="D6" s="18">
        <v>3876000000</v>
      </c>
      <c r="E6" s="18">
        <v>3969000000</v>
      </c>
      <c r="F6" s="6" t="s">
        <v>92</v>
      </c>
    </row>
    <row r="7" spans="1:6" x14ac:dyDescent="0.25">
      <c r="A7" t="s">
        <v>93</v>
      </c>
      <c r="B7" s="18">
        <v>824000000</v>
      </c>
      <c r="C7" s="18">
        <v>968000000</v>
      </c>
      <c r="D7" s="18">
        <v>917000000</v>
      </c>
      <c r="E7" s="18">
        <v>845000000</v>
      </c>
      <c r="F7" s="6" t="s">
        <v>94</v>
      </c>
    </row>
    <row r="8" spans="1:6" x14ac:dyDescent="0.25">
      <c r="A8" t="s">
        <v>95</v>
      </c>
      <c r="B8" s="18">
        <v>546000000</v>
      </c>
      <c r="C8" s="18">
        <v>575000000</v>
      </c>
      <c r="D8" s="18">
        <v>1004000000</v>
      </c>
      <c r="E8" s="18">
        <v>1137000000</v>
      </c>
      <c r="F8" s="6" t="s">
        <v>96</v>
      </c>
    </row>
    <row r="9" spans="1:6" x14ac:dyDescent="0.25">
      <c r="A9" t="s">
        <v>97</v>
      </c>
      <c r="B9" s="18">
        <v>1797000000</v>
      </c>
      <c r="C9" s="18">
        <v>-154000000</v>
      </c>
      <c r="D9" s="18">
        <v>-81000000</v>
      </c>
      <c r="E9" s="18">
        <v>-534000000</v>
      </c>
      <c r="F9" s="6" t="s">
        <v>98</v>
      </c>
    </row>
    <row r="10" spans="1:6" x14ac:dyDescent="0.25">
      <c r="A10" t="s">
        <v>99</v>
      </c>
      <c r="B10" s="18">
        <v>12369000000</v>
      </c>
      <c r="C10" s="18">
        <v>11721000000</v>
      </c>
      <c r="D10" s="18">
        <v>11656000000</v>
      </c>
      <c r="E10" s="18">
        <v>11126000000</v>
      </c>
      <c r="F10" s="6" t="s">
        <v>100</v>
      </c>
    </row>
    <row r="11" spans="1:6" x14ac:dyDescent="0.25">
      <c r="A11" t="s">
        <v>101</v>
      </c>
      <c r="B11" s="18">
        <v>19903000000</v>
      </c>
      <c r="C11" s="18">
        <v>20435000000</v>
      </c>
      <c r="D11" s="18">
        <v>21320000000</v>
      </c>
      <c r="E11" s="18">
        <v>18942000000</v>
      </c>
      <c r="F11" s="6" t="s">
        <v>102</v>
      </c>
    </row>
    <row r="12" spans="1:6" x14ac:dyDescent="0.25">
      <c r="A12" t="s">
        <v>34</v>
      </c>
      <c r="B12" s="34">
        <v>120826000</v>
      </c>
      <c r="C12" s="34">
        <v>120869000</v>
      </c>
      <c r="D12" s="34">
        <v>124441000</v>
      </c>
      <c r="E12" s="34">
        <v>127094000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