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<sst xmlns="http://schemas.openxmlformats.org/spreadsheetml/2006/main" count="112" uniqueCount="100">
  <si>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Harvey Norman Holdings Limited (HVN.AX)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</si>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</sst>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0.026841854854921854</v>
      </c>
    </row>
    <row r="7" spans="1:2" x14ac:dyDescent="0.25">
      <c r="A7" t="s">
        <v>5</v>
      </c>
      <c r="B7" s="6">
        <v>0.10205252161163297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0.0627435723984828</v>
      </c>
    </row>
    <row r="10" spans="1:2" x14ac:dyDescent="0.25">
      <c r="A10" t="s">
        <v>8</v>
      </c>
      <c r="B10" s="6">
        <v>0.043883693150632355</v>
      </c>
    </row>
    <row r="11" spans="1:2" x14ac:dyDescent="0.25">
      <c r="A11" t="s">
        <v>9</v>
      </c>
      <c r="B11" s="6">
        <v>0.6275033517134168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10.721135630444332</v>
      </c>
    </row>
    <row r="14" spans="1:3" x14ac:dyDescent="0.25">
      <c r="A14" t="s">
        <v>12</v>
      </c>
      <c r="B14" s="6">
        <v>0.0802384480491422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0.80704</v>
      </c>
      <c r="C19" s="8" t="s">
        <v>19</v>
      </c>
    </row>
    <row r="20" spans="1:2" x14ac:dyDescent="0.25">
      <c r="A20" t="s">
        <v>20</v>
      </c>
      <c r="B20" s="10">
        <f>B17+B19*B18</f>
        <v>0.1019024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5108626944</v>
      </c>
    </row>
    <row r="23" spans="1:2" x14ac:dyDescent="0.25">
      <c r="A23" t="s">
        <v>24</v>
      </c>
      <c r="B23" s="11">
        <v>2585671000</v>
      </c>
    </row>
    <row r="24" spans="1:2" x14ac:dyDescent="0.25">
      <c r="A24" t="s">
        <v>25</v>
      </c>
      <c r="B24" s="10">
        <f>B22/(B22+B23)</f>
        <v>0.6639497172037246</v>
      </c>
    </row>
    <row r="25" spans="1:2" x14ac:dyDescent="0.25">
      <c r="A25" t="s">
        <v>26</v>
      </c>
      <c r="B25" s="10">
        <f>1-B24</f>
        <v>0.33605028279627536</v>
      </c>
    </row>
    <row r="26" spans="1:2" x14ac:dyDescent="0.25">
      <c r="A26" t="s">
        <v>27</v>
      </c>
      <c r="B26" s="12">
        <f>B24*B20+B25*B21*(1-B8)</f>
        <v>0.0802384480491422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4313160000</v>
      </c>
      <c r="C29" s="8" t="s">
        <v>30</v>
      </c>
    </row>
    <row r="30" spans="1:2" x14ac:dyDescent="0.25">
      <c r="A30" t="s">
        <v>31</v>
      </c>
      <c r="B30" s="11">
        <v>2287059000</v>
      </c>
    </row>
    <row r="31" spans="1:2" x14ac:dyDescent="0.25">
      <c r="A31" t="s">
        <v>32</v>
      </c>
      <c r="B31" s="13">
        <v>1247542493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0.026841854854921854</v>
      </c>
      <c r="C5" s="10">
        <f>Assumptions!B6</f>
        <v>0.026841854854921854</v>
      </c>
      <c r="D5" s="10">
        <f>Assumptions!B6</f>
        <v>0.026841854854921854</v>
      </c>
      <c r="E5" s="10">
        <f>Assumptions!B6</f>
        <v>0.026841854854921854</v>
      </c>
      <c r="F5" s="10">
        <f>Assumptions!B6</f>
        <v>0.026841854854921854</v>
      </c>
    </row>
    <row r="6" spans="1:6" x14ac:dyDescent="0.25">
      <c r="A6" t="s">
        <v>43</v>
      </c>
      <c r="B6" s="18">
        <f>Assumptions!B29*(1+B5)</f>
        <v>4428933214.686055</v>
      </c>
      <c r="C6" s="18">
        <f>B6*(1+C5)</f>
        <v>4547813997.196801</v>
      </c>
      <c r="D6" s="18">
        <f>C6*(1+D5)</f>
        <v>4669885760.416739</v>
      </c>
      <c r="E6" s="18">
        <f>D6*(1+E5)</f>
        <v>4795234156.186912</v>
      </c>
      <c r="F6" s="18">
        <f>E6*(1+F5)</f>
        <v>4923947135.402644</v>
      </c>
    </row>
    <row r="7" spans="1:6" x14ac:dyDescent="0.25">
      <c r="A7" t="s">
        <v>5</v>
      </c>
      <c r="B7" s="10">
        <f>Assumptions!B7</f>
        <v>0.10205252161163297</v>
      </c>
      <c r="C7" s="10">
        <f>Assumptions!B7</f>
        <v>0.10205252161163297</v>
      </c>
      <c r="D7" s="10">
        <f>Assumptions!B7</f>
        <v>0.10205252161163297</v>
      </c>
      <c r="E7" s="10">
        <f>Assumptions!B7</f>
        <v>0.10205252161163297</v>
      </c>
      <c r="F7" s="10">
        <f>Assumptions!B7</f>
        <v>0.10205252161163297</v>
      </c>
    </row>
    <row r="8" spans="1:6" x14ac:dyDescent="0.25">
      <c r="A8" t="s">
        <v>44</v>
      </c>
      <c r="B8" s="18">
        <f>B6*B7</f>
        <v>451983802.6082277</v>
      </c>
      <c r="C8" s="18">
        <f>C6*C7</f>
        <v>464115886.2346135</v>
      </c>
      <c r="D8" s="18">
        <f>D6*D7</f>
        <v>476573617.4887864</v>
      </c>
      <c r="E8" s="18">
        <f>E6*E7</f>
        <v>489365737.3571054</v>
      </c>
      <c r="F8" s="18">
        <f>F6*F7</f>
        <v>502501221.4502166</v>
      </c>
    </row>
    <row r="9" spans="1:6" x14ac:dyDescent="0.25">
      <c r="A9" t="s">
        <v>45</v>
      </c>
      <c r="B9" s="18">
        <f>B8*(1-Assumptions!B8)</f>
        <v>316388661.8257594</v>
      </c>
      <c r="C9" s="18">
        <f>C8*(1-Assumptions!B8)</f>
        <v>324881120.36422944</v>
      </c>
      <c r="D9" s="18">
        <f>D8*(1-Assumptions!B8)</f>
        <v>333601532.2421505</v>
      </c>
      <c r="E9" s="18">
        <f>E8*(1-Assumptions!B8)</f>
        <v>342556016.14997375</v>
      </c>
      <c r="F9" s="18">
        <f>F8*(1-Assumptions!B8)</f>
        <v>351750855.0151516</v>
      </c>
    </row>
    <row r="10" spans="1:6" x14ac:dyDescent="0.25">
      <c r="A10" t="s">
        <v>46</v>
      </c>
      <c r="B10" s="18">
        <f>B6*Assumptions!B9</f>
        <v>277887091.8036997</v>
      </c>
      <c r="C10" s="18">
        <f>C6*Assumptions!B9</f>
        <v>285346096.78795093</v>
      </c>
      <c r="D10" s="18">
        <f>D6*Assumptions!B9</f>
        <v>293005315.3013516</v>
      </c>
      <c r="E10" s="18">
        <f>E6*Assumptions!B9</f>
        <v>300870121.44639105</v>
      </c>
      <c r="F10" s="18">
        <f>F6*Assumptions!B9</f>
        <v>308946033.5764378</v>
      </c>
    </row>
    <row r="11" spans="1:6" x14ac:dyDescent="0.25">
      <c r="A11" t="s">
        <v>47</v>
      </c>
      <c r="B11" s="18">
        <f>-B6*Assumptions!B10</f>
        <v>-194357946.17792657</v>
      </c>
      <c r="C11" s="18">
        <f>-C6*Assumptions!B10</f>
        <v>-199574873.9591352</v>
      </c>
      <c r="D11" s="18">
        <f>-D6*Assumptions!B10</f>
        <v>-204931833.75863564</v>
      </c>
      <c r="E11" s="18">
        <f>-E6*Assumptions!B10</f>
        <v>-210432584.2955379</v>
      </c>
      <c r="F11" s="18">
        <f>-F6*Assumptions!B10</f>
        <v>-216080985.1799448</v>
      </c>
    </row>
    <row r="12" spans="1:6" x14ac:dyDescent="0.25">
      <c r="A12" t="s">
        <v>48</v>
      </c>
      <c r="B12" s="18">
        <f>-(B6-Assumptions!B29)*Assumptions!B11</f>
        <v>-72648080.25413659</v>
      </c>
      <c r="C12" s="18">
        <f>-(C6-B6)*Assumptions!B11</f>
        <v>-74598089.47980686</v>
      </c>
      <c r="D12" s="18">
        <f>-(D6-C6)*Assumptions!B11</f>
        <v>-76600440.57007787</v>
      </c>
      <c r="E12" s="18">
        <f>-(E6-D6)*Assumptions!B11</f>
        <v>-78656538.47768287</v>
      </c>
      <c r="F12" s="18">
        <f>-(F6-E6)*Assumptions!B11</f>
        <v>-80767825.86689153</v>
      </c>
    </row>
    <row r="13" spans="1:6" x14ac:dyDescent="0.25">
      <c r="A13" s="19" t="s">
        <v>49</v>
      </c>
      <c r="B13" s="20">
        <f>B9+B10+B11+B12</f>
        <v>327269727.19739604</v>
      </c>
      <c r="C13" s="20">
        <f>C9+C10+C11+C12</f>
        <v>336054253.7132384</v>
      </c>
      <c r="D13" s="20">
        <f>D9+D10+D11+D12</f>
        <v>345074573.21478856</v>
      </c>
      <c r="E13" s="20">
        <f>E9+E10+E11+E12</f>
        <v>354337014.82314396</v>
      </c>
      <c r="F13" s="20">
        <f>F9+F10+F11+F12</f>
        <v>363848077.5447531</v>
      </c>
    </row>
    <row r="14" spans="1:6" x14ac:dyDescent="0.25">
      <c r="A14" t="s">
        <v>50</v>
      </c>
      <c r="B14" s="21">
        <f>1/(1+Assumptions!$B$26)^(1-0.5*Assumptions!$B$32)</f>
        <v>0.9621442408922388</v>
      </c>
      <c r="C14" s="21">
        <f>1/(1+Assumptions!$B$26)^(2-0.5*Assumptions!$B$32)</f>
        <v>0.8906776486523177</v>
      </c>
      <c r="D14" s="21">
        <f>1/(1+Assumptions!$B$26)^(3-0.5*Assumptions!$B$32)</f>
        <v>0.8245194848052648</v>
      </c>
      <c r="E14" s="21">
        <f>1/(1+Assumptions!$B$26)^(4-0.5*Assumptions!$B$32)</f>
        <v>0.7632754474665355</v>
      </c>
      <c r="F14" s="21">
        <f>1/(1+Assumptions!$B$26)^(5-0.5*Assumptions!$B$32)</f>
        <v>0.7065805228882323</v>
      </c>
    </row>
    <row r="15" spans="1:6" x14ac:dyDescent="0.25">
      <c r="A15" s="19" t="s">
        <v>51</v>
      </c>
      <c r="B15" s="20">
        <f>B13*B14</f>
        <v>314880683.2413487</v>
      </c>
      <c r="C15" s="20">
        <f>C13*C14</f>
        <v>299316012.5169166</v>
      </c>
      <c r="D15" s="20">
        <f>D13*D14</f>
        <v>284520709.3264541</v>
      </c>
      <c r="E15" s="20">
        <f>E13*E14</f>
        <v>270456743.54309165</v>
      </c>
      <c r="F15" s="20">
        <f>F13*F14</f>
        <v>257087964.8834497</v>
      </c>
    </row>
    <row r="17" spans="1:2" x14ac:dyDescent="0.25">
      <c r="A17" s="22" t="s">
        <v>52</v>
      </c>
      <c r="B17" s="23">
        <f>SUM(B15:F15)</f>
        <v>1426262113.5112607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363848077.5447531</v>
      </c>
    </row>
    <row r="5" spans="1:2" x14ac:dyDescent="0.25">
      <c r="A5" t="s">
        <v>56</v>
      </c>
      <c r="B5" s="18">
        <f>IF(Assumptions!$B$33=0,B4,B4-Forecast!F11-Forecast!F10-Forecast!F12)</f>
        <v>351750855.0151516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0.3115713303015121</v>
      </c>
    </row>
    <row r="7" spans="1:2" x14ac:dyDescent="0.25">
      <c r="A7" t="s">
        <v>58</v>
      </c>
      <c r="B7" s="18">
        <f>-MAX(Forecast!F9,0)*B6</f>
        <v>-109595481.83176509</v>
      </c>
    </row>
    <row r="8" spans="1:2" x14ac:dyDescent="0.25">
      <c r="A8" t="s">
        <v>59</v>
      </c>
      <c r="B8" s="18">
        <f>IF(OR(Assumptions!$B$33=0,Assumptions!B12&lt;=0),B5,MAX(B5+B7,0))</f>
        <v>242155373.18338653</v>
      </c>
    </row>
    <row r="9" spans="1:2" x14ac:dyDescent="0.25">
      <c r="A9" t="s">
        <v>60</v>
      </c>
      <c r="B9" s="18">
        <f>B8*(1+Assumptions!B12)/(Assumptions!B26-Assumptions!B12)</f>
        <v>4493414755.102368</v>
      </c>
    </row>
    <row r="10" spans="1:2" x14ac:dyDescent="0.25">
      <c r="A10" t="s">
        <v>61</v>
      </c>
      <c r="B10" s="18">
        <f>B9/(1+Assumptions!B26)^(5-0.5*Assumptions!B32)</f>
        <v>3174959347.2139297</v>
      </c>
    </row>
    <row r="11" spans="1:2" x14ac:dyDescent="0.25">
      <c r="A11" t="s">
        <v>62</v>
      </c>
      <c r="B11" s="18">
        <f>Forecast!B17+B10</f>
        <v>4601221460.72519</v>
      </c>
    </row>
    <row r="12" spans="1:2" x14ac:dyDescent="0.25">
      <c r="A12" t="s">
        <v>63</v>
      </c>
      <c r="B12" s="18">
        <f>-Assumptions!B30</f>
        <v>-2287059000</v>
      </c>
    </row>
    <row r="13" spans="1:2" x14ac:dyDescent="0.25">
      <c r="A13" t="s">
        <v>64</v>
      </c>
      <c r="B13" s="18">
        <f>B11+B12</f>
        <v>2314162460.72519</v>
      </c>
    </row>
    <row r="14" spans="1:2" x14ac:dyDescent="0.25">
      <c r="A14" s="19" t="s">
        <v>65</v>
      </c>
      <c r="B14" s="24">
        <f>B13/Assumptions!B31</f>
        <v>1.8549768634816275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811447255.0266544</v>
      </c>
    </row>
    <row r="18" spans="1:2" x14ac:dyDescent="0.25">
      <c r="A18" t="s">
        <v>60</v>
      </c>
      <c r="B18" s="18">
        <f>B17*Assumptions!B13</f>
        <v>8699636078.092512</v>
      </c>
    </row>
    <row r="19" spans="1:2" x14ac:dyDescent="0.25">
      <c r="A19" t="s">
        <v>61</v>
      </c>
      <c r="B19" s="18">
        <f>B18/(1+Assumptions!B26)^(5-0.5*Assumptions!B32)</f>
        <v>6146993408.995937</v>
      </c>
    </row>
    <row r="20" spans="1:2" x14ac:dyDescent="0.25">
      <c r="A20" t="s">
        <v>62</v>
      </c>
      <c r="B20" s="18">
        <f>Forecast!B17+B19</f>
        <v>7573255522.507198</v>
      </c>
    </row>
    <row r="21" spans="1:2" x14ac:dyDescent="0.25">
      <c r="A21" t="s">
        <v>63</v>
      </c>
      <c r="B21" s="18">
        <f>-Assumptions!B30</f>
        <v>-2287059000</v>
      </c>
    </row>
    <row r="22" spans="1:2" x14ac:dyDescent="0.25">
      <c r="A22" t="s">
        <v>64</v>
      </c>
      <c r="B22" s="18">
        <f>B20+B21</f>
        <v>5286196522.507198</v>
      </c>
    </row>
    <row r="23" spans="1:2" x14ac:dyDescent="0.25">
      <c r="A23" s="19" t="s">
        <v>65</v>
      </c>
      <c r="B23" s="25">
        <f>B22/Assumptions!B31</f>
        <v>4.2372877494499885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4.1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1.8549768634816275</v>
      </c>
    </row>
    <row r="29" spans="1:2" x14ac:dyDescent="0.25">
      <c r="A29" s="19" t="s">
        <v>73</v>
      </c>
      <c r="B29" s="12">
        <f>B28/B26-1</f>
        <v>-0.5475666186630177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0.060238</v>
      </c>
      <c r="B5" s="31">
        <v>3.0142452852448116</v>
      </c>
      <c r="C5" s="31">
        <v>3.0322325086613704</v>
      </c>
      <c r="D5" s="31">
        <v>3.050219732077926</v>
      </c>
      <c r="E5" s="31">
        <v>3.0682069554944844</v>
      </c>
      <c r="F5" s="31">
        <v>3.086194178911043</v>
      </c>
    </row>
    <row r="6" spans="1:6" x14ac:dyDescent="0.25">
      <c r="A6" s="30">
        <v>0.070238</v>
      </c>
      <c r="B6" s="31">
        <v>2.33790898196237</v>
      </c>
      <c r="C6" s="31">
        <v>2.352697206312567</v>
      </c>
      <c r="D6" s="31">
        <v>2.3674854306627644</v>
      </c>
      <c r="E6" s="31">
        <v>2.3822736550129613</v>
      </c>
      <c r="F6" s="31">
        <v>2.3970618793631586</v>
      </c>
    </row>
    <row r="7" spans="1:6" x14ac:dyDescent="0.25">
      <c r="A7" s="30">
        <v>0.080238</v>
      </c>
      <c r="B7" s="31">
        <v>1.8301677927417839</v>
      </c>
      <c r="C7" s="31">
        <v>1.8425823774542762</v>
      </c>
      <c r="D7" s="32">
        <v>1.854996962166767</v>
      </c>
      <c r="E7" s="31">
        <v>1.8674115468792596</v>
      </c>
      <c r="F7" s="31">
        <v>1.879826131591751</v>
      </c>
    </row>
    <row r="8" spans="1:6" x14ac:dyDescent="0.25">
      <c r="A8" s="30">
        <v>0.090238</v>
      </c>
      <c r="B8" s="31">
        <v>1.4349705215719628</v>
      </c>
      <c r="C8" s="31">
        <v>1.4455609721855263</v>
      </c>
      <c r="D8" s="31">
        <v>1.4561514227990884</v>
      </c>
      <c r="E8" s="31">
        <v>1.466741873412652</v>
      </c>
      <c r="F8" s="31">
        <v>1.4773323240262157</v>
      </c>
    </row>
    <row r="9" spans="1:6" x14ac:dyDescent="0.25">
      <c r="A9" s="30">
        <v>0.100238</v>
      </c>
      <c r="B9" s="31">
        <v>1.1186332247821713</v>
      </c>
      <c r="C9" s="31">
        <v>1.127783360668496</v>
      </c>
      <c r="D9" s="31">
        <v>1.136933496554819</v>
      </c>
      <c r="E9" s="31">
        <v>1.1460836324411425</v>
      </c>
      <c r="F9" s="31">
        <v>1.1552337683274663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4313160000</v>
      </c>
      <c r="C5" s="18">
        <v>4121467000</v>
      </c>
      <c r="D5" s="18">
        <v>3921859000</v>
      </c>
      <c r="E5" s="18">
        <v>3983684000</v>
      </c>
      <c r="F5" s="8" t="s">
        <v>84</v>
      </c>
    </row>
    <row r="6" spans="1:6" x14ac:dyDescent="0.25">
      <c r="A6" t="s">
        <v>44</v>
      </c>
      <c r="B6" s="18">
        <v>425100000</v>
      </c>
      <c r="C6" s="18">
        <v>405123000</v>
      </c>
      <c r="D6" s="18">
        <v>361214000</v>
      </c>
      <c r="E6" s="18">
        <v>475065000</v>
      </c>
      <c r="F6" s="8" t="s">
        <v>85</v>
      </c>
    </row>
    <row r="7" spans="1:6" x14ac:dyDescent="0.25">
      <c r="A7" t="s">
        <v>86</v>
      </c>
      <c r="B7" s="18">
        <v>264723000</v>
      </c>
      <c r="C7" s="18">
        <v>254333000</v>
      </c>
      <c r="D7" s="18">
        <v>242674000</v>
      </c>
      <c r="E7" s="18">
        <v>262971000</v>
      </c>
      <c r="F7" s="8" t="s">
        <v>87</v>
      </c>
    </row>
    <row r="8" spans="1:6" x14ac:dyDescent="0.25">
      <c r="A8" t="s">
        <v>88</v>
      </c>
      <c r="B8" s="18">
        <v>150503000</v>
      </c>
      <c r="C8" s="18">
        <v>183558000</v>
      </c>
      <c r="D8" s="18">
        <v>192158000</v>
      </c>
      <c r="E8" s="18">
        <v>187660000</v>
      </c>
      <c r="F8" s="8" t="s">
        <v>89</v>
      </c>
    </row>
    <row r="9" spans="1:6" x14ac:dyDescent="0.25">
      <c r="A9" t="s">
        <v>90</v>
      </c>
      <c r="B9" s="18">
        <v>120288000</v>
      </c>
      <c r="C9" s="18">
        <v>46577000</v>
      </c>
      <c r="D9" s="18">
        <v>-46585000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2585671000</v>
      </c>
      <c r="C10" s="18">
        <v>2293852000</v>
      </c>
      <c r="D10" s="18">
        <v>2279572000</v>
      </c>
      <c r="E10" s="18">
        <v>2179107000</v>
      </c>
      <c r="F10" s="8" t="s">
        <v>93</v>
      </c>
    </row>
    <row r="11" spans="1:6" x14ac:dyDescent="0.25">
      <c r="A11" t="s">
        <v>94</v>
      </c>
      <c r="B11" s="18">
        <v>298612000</v>
      </c>
      <c r="C11" s="18">
        <v>279688000</v>
      </c>
      <c r="D11" s="18">
        <v>273472000</v>
      </c>
      <c r="E11" s="18">
        <v>218750000</v>
      </c>
      <c r="F11" s="8" t="s">
        <v>95</v>
      </c>
    </row>
    <row r="12" spans="1:6" x14ac:dyDescent="0.25">
      <c r="A12" t="s">
        <v>32</v>
      </c>
      <c r="B12" s="34">
        <v>1247542493</v>
      </c>
      <c r="C12" s="34">
        <v>1248231325</v>
      </c>
      <c r="D12" s="34">
        <v>1248505136</v>
      </c>
      <c r="E12" s="34">
        <v>1248022207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2026-09-19T00:07:14Z</dcterms:modified>
</cp:coreProperties>
</file>