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<sst xmlns="http://schemas.openxmlformats.org/spreadsheetml/2006/main" count="112" uniqueCount="100">
  <si>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Howden Joinery Group Plc (HWDN.L)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</si>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</sst>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0.014032441222274539</v>
      </c>
    </row>
    <row r="7" spans="1:2" x14ac:dyDescent="0.25">
      <c r="A7" t="s">
        <v>5</v>
      </c>
      <c r="B7" s="6">
        <v>0.15481808868918684</v>
      </c>
    </row>
    <row r="8" spans="1:2" x14ac:dyDescent="0.25">
      <c r="A8" t="s">
        <v>6</v>
      </c>
      <c r="B8" s="6">
        <v>0.22333285895187896</v>
      </c>
    </row>
    <row r="9" spans="1:2" x14ac:dyDescent="0.25">
      <c r="A9" t="s">
        <v>7</v>
      </c>
      <c r="B9" s="6">
        <v>0.06294686256363606</v>
      </c>
    </row>
    <row r="10" spans="1:2" x14ac:dyDescent="0.25">
      <c r="A10" t="s">
        <v>8</v>
      </c>
      <c r="B10" s="6">
        <v>0.05735730073843071</v>
      </c>
    </row>
    <row r="11" spans="1:2" x14ac:dyDescent="0.25">
      <c r="A11" t="s">
        <v>9</v>
      </c>
      <c r="B11" s="6">
        <v>0.2596454640250261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8.454165945637712</v>
      </c>
    </row>
    <row r="14" spans="1:3" x14ac:dyDescent="0.25">
      <c r="A14" t="s">
        <v>12</v>
      </c>
      <c r="B14" s="6">
        <v>0.25173074147244867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1.1943000000000001</v>
      </c>
      <c r="C19" s="8" t="s">
        <v>19</v>
      </c>
    </row>
    <row r="20" spans="1:2" x14ac:dyDescent="0.25">
      <c r="A20" t="s">
        <v>20</v>
      </c>
      <c r="B20" s="10">
        <f>B17+B19*B18</f>
        <v>0.11068650000000001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4087336704</v>
      </c>
    </row>
    <row r="23" spans="1:2" x14ac:dyDescent="0.25">
      <c r="A23" t="s">
        <v>24</v>
      </c>
      <c r="B23" s="11">
        <v>704900000</v>
      </c>
    </row>
    <row r="24" spans="1:2" x14ac:dyDescent="0.25">
      <c r="A24" t="s">
        <v>25</v>
      </c>
      <c r="B24" s="10">
        <f>B22/(B22+B23)</f>
        <v>0.8529079334892553</v>
      </c>
    </row>
    <row r="25" spans="1:2" x14ac:dyDescent="0.25">
      <c r="A25" t="s">
        <v>26</v>
      </c>
      <c r="B25" s="10">
        <f>1-B24</f>
        <v>0.1470920665107447</v>
      </c>
    </row>
    <row r="26" spans="1:2" x14ac:dyDescent="0.25">
      <c r="A26" t="s">
        <v>27</v>
      </c>
      <c r="B26" s="12">
        <f>B24*B20+B25*B21*(1-B8)</f>
        <v>0.09954626484470766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2418000000</v>
      </c>
      <c r="C29" s="8" t="s">
        <v>30</v>
      </c>
    </row>
    <row r="30" spans="1:2" x14ac:dyDescent="0.25">
      <c r="A30" t="s">
        <v>31</v>
      </c>
      <c r="B30" s="11">
        <v>360400000</v>
      </c>
    </row>
    <row r="31" spans="1:2" x14ac:dyDescent="0.25">
      <c r="A31" t="s">
        <v>32</v>
      </c>
      <c r="B31" s="13">
        <v>546800000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0.014032441222274539</v>
      </c>
      <c r="C5" s="10">
        <f>Assumptions!B6</f>
        <v>0.014032441222274539</v>
      </c>
      <c r="D5" s="10">
        <f>Assumptions!B6</f>
        <v>0.014032441222274539</v>
      </c>
      <c r="E5" s="10">
        <f>Assumptions!B6</f>
        <v>0.014032441222274539</v>
      </c>
      <c r="F5" s="10">
        <f>Assumptions!B6</f>
        <v>0.014032441222274539</v>
      </c>
    </row>
    <row r="6" spans="1:6" x14ac:dyDescent="0.25">
      <c r="A6" t="s">
        <v>43</v>
      </c>
      <c r="B6" s="18">
        <f>Assumptions!B29*(1+B5)</f>
        <v>2451930442.8754597</v>
      </c>
      <c r="C6" s="18">
        <f>B6*(1+C5)</f>
        <v>2486337012.696215</v>
      </c>
      <c r="D6" s="18">
        <f>C6*(1+D5)</f>
        <v>2521226390.6856403</v>
      </c>
      <c r="E6" s="18">
        <f>D6*(1+E5)</f>
        <v>2556605351.820984</v>
      </c>
      <c r="F6" s="18">
        <f>E6*(1+F5)</f>
        <v>2592480766.1489644</v>
      </c>
    </row>
    <row r="7" spans="1:6" x14ac:dyDescent="0.25">
      <c r="A7" t="s">
        <v>5</v>
      </c>
      <c r="B7" s="10">
        <f>Assumptions!B7</f>
        <v>0.15481808868918684</v>
      </c>
      <c r="C7" s="10">
        <f>Assumptions!B7</f>
        <v>0.15481808868918684</v>
      </c>
      <c r="D7" s="10">
        <f>Assumptions!B7</f>
        <v>0.15481808868918684</v>
      </c>
      <c r="E7" s="10">
        <f>Assumptions!B7</f>
        <v>0.15481808868918684</v>
      </c>
      <c r="F7" s="10">
        <f>Assumptions!B7</f>
        <v>0.15481808868918684</v>
      </c>
    </row>
    <row r="8" spans="1:6" x14ac:dyDescent="0.25">
      <c r="A8" t="s">
        <v>44</v>
      </c>
      <c r="B8" s="18">
        <f>B6*B7</f>
        <v>379603184.7648101</v>
      </c>
      <c r="C8" s="18">
        <f>C6*C7</f>
        <v>384929944.1428105</v>
      </c>
      <c r="D8" s="18">
        <f>D6*D7</f>
        <v>390331450.9586879</v>
      </c>
      <c r="E8" s="18">
        <f>E6*E7</f>
        <v>395808754.1014708</v>
      </c>
      <c r="F8" s="18">
        <f>F6*F7</f>
        <v>401362917.1786614</v>
      </c>
    </row>
    <row r="9" spans="1:6" x14ac:dyDescent="0.25">
      <c r="A9" t="s">
        <v>45</v>
      </c>
      <c r="B9" s="18">
        <f>B8*(1-Assumptions!B8)</f>
        <v>294825320.2440467</v>
      </c>
      <c r="C9" s="18">
        <f>C8*(1-Assumptions!B8)</f>
        <v>298962439.2212096</v>
      </c>
      <c r="D9" s="18">
        <f>D8*(1-Assumptions!B8)</f>
        <v>303157612.077249</v>
      </c>
      <c r="E9" s="18">
        <f>E8*(1-Assumptions!B8)</f>
        <v>307411653.4498081</v>
      </c>
      <c r="F9" s="18">
        <f>F8*(1-Assumptions!B8)</f>
        <v>311725389.4078848</v>
      </c>
    </row>
    <row r="10" spans="1:6" x14ac:dyDescent="0.25">
      <c r="A10" t="s">
        <v>46</v>
      </c>
      <c r="B10" s="18">
        <f>B6*Assumptions!B9</f>
        <v>154341328.60327685</v>
      </c>
      <c r="C10" s="18">
        <f>C6*Assumptions!B9</f>
        <v>156507114.2250701</v>
      </c>
      <c r="D10" s="18">
        <f>D6*Assumptions!B9</f>
        <v>158703291.1063012</v>
      </c>
      <c r="E10" s="18">
        <f>E6*Assumptions!B9</f>
        <v>160930285.7105319</v>
      </c>
      <c r="F10" s="18">
        <f>F6*Assumptions!B9</f>
        <v>163188530.48564878</v>
      </c>
    </row>
    <row r="11" spans="1:6" x14ac:dyDescent="0.25">
      <c r="A11" t="s">
        <v>47</v>
      </c>
      <c r="B11" s="18">
        <f>-B6*Assumptions!B10</f>
        <v>-140636111.80172133</v>
      </c>
      <c r="C11" s="18">
        <f>-C6*Assumptions!B10</f>
        <v>-142609579.77430823</v>
      </c>
      <c r="D11" s="18">
        <f>-D6*Assumptions!B10</f>
        <v>-144610740.32022446</v>
      </c>
      <c r="E11" s="18">
        <f>-E6*Assumptions!B10</f>
        <v>-146639982.03387764</v>
      </c>
      <c r="F11" s="18">
        <f>-F6*Assumptions!B10</f>
        <v>-148697698.96260342</v>
      </c>
    </row>
    <row r="12" spans="1:6" x14ac:dyDescent="0.25">
      <c r="A12" t="s">
        <v>48</v>
      </c>
      <c r="B12" s="18">
        <f>-(B6-Assumptions!B29)*Assumptions!B11</f>
        <v>-8809885.584973367</v>
      </c>
      <c r="C12" s="18">
        <f>-(C6-B6)*Assumptions!B11</f>
        <v>-8933509.786619516</v>
      </c>
      <c r="D12" s="18">
        <f>-(D6-C6)*Assumptions!B11</f>
        <v>-9058868.737608833</v>
      </c>
      <c r="E12" s="18">
        <f>-(E6-D6)*Assumptions!B11</f>
        <v>-9185986.780709641</v>
      </c>
      <c r="F12" s="18">
        <f>-(F6-E6)*Assumptions!B11</f>
        <v>-9314888.600278571</v>
      </c>
    </row>
    <row r="13" spans="1:6" x14ac:dyDescent="0.25">
      <c r="A13" s="19" t="s">
        <v>49</v>
      </c>
      <c r="B13" s="20">
        <f>B9+B10+B11+B12</f>
        <v>299720651.4606288</v>
      </c>
      <c r="C13" s="20">
        <f>C9+C10+C11+C12</f>
        <v>303926463.8853519</v>
      </c>
      <c r="D13" s="20">
        <f>D9+D10+D11+D12</f>
        <v>308191294.12571687</v>
      </c>
      <c r="E13" s="20">
        <f>E9+E10+E11+E12</f>
        <v>312515970.3457527</v>
      </c>
      <c r="F13" s="20">
        <f>F9+F10+F11+F12</f>
        <v>316901332.3306516</v>
      </c>
    </row>
    <row r="14" spans="1:6" x14ac:dyDescent="0.25">
      <c r="A14" t="s">
        <v>50</v>
      </c>
      <c r="B14" s="21">
        <f>1/(1+Assumptions!$B$26)^(1-0.5*Assumptions!$B$32)</f>
        <v>0.9536592953270906</v>
      </c>
      <c r="C14" s="21">
        <f>1/(1+Assumptions!$B$26)^(2-0.5*Assumptions!$B$32)</f>
        <v>0.8673207538582098</v>
      </c>
      <c r="D14" s="21">
        <f>1/(1+Assumptions!$B$26)^(3-0.5*Assumptions!$B$32)</f>
        <v>0.7887987814507326</v>
      </c>
      <c r="E14" s="21">
        <f>1/(1+Assumptions!$B$26)^(4-0.5*Assumptions!$B$32)</f>
        <v>0.7173857132443054</v>
      </c>
      <c r="F14" s="21">
        <f>1/(1+Assumptions!$B$26)^(5-0.5*Assumptions!$B$32)</f>
        <v>0.6524379520725525</v>
      </c>
    </row>
    <row r="15" spans="1:6" x14ac:dyDescent="0.25">
      <c r="A15" s="19" t="s">
        <v>51</v>
      </c>
      <c r="B15" s="20">
        <f>B13*B14</f>
        <v>285831385.2669198</v>
      </c>
      <c r="C15" s="20">
        <f>C13*C14</f>
        <v>263601729.77450338</v>
      </c>
      <c r="D15" s="20">
        <f>D13*D14</f>
        <v>243100917.26008978</v>
      </c>
      <c r="E15" s="20">
        <f>E13*E14</f>
        <v>224194492.28672403</v>
      </c>
      <c r="F15" s="20">
        <f>F13*F14</f>
        <v>206758456.2748737</v>
      </c>
    </row>
    <row r="17" spans="1:2" x14ac:dyDescent="0.25">
      <c r="A17" s="22" t="s">
        <v>52</v>
      </c>
      <c r="B17" s="23">
        <f>SUM(B15:F15)</f>
        <v>1223486980.8631108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316901332.3306516</v>
      </c>
    </row>
    <row r="5" spans="1:2" x14ac:dyDescent="0.25">
      <c r="A5" t="s">
        <v>56</v>
      </c>
      <c r="B5" s="18">
        <f>IF(Assumptions!$B$33=0,B4,B4-Forecast!F11-Forecast!F10-Forecast!F12)</f>
        <v>313353376.65308785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0.09931246320480168</v>
      </c>
    </row>
    <row r="7" spans="1:2" x14ac:dyDescent="0.25">
      <c r="A7" t="s">
        <v>58</v>
      </c>
      <c r="B7" s="18">
        <f>-MAX(Forecast!F9,0)*B6</f>
        <v>-31119895.68896015</v>
      </c>
    </row>
    <row r="8" spans="1:2" x14ac:dyDescent="0.25">
      <c r="A8" t="s">
        <v>59</v>
      </c>
      <c r="B8" s="18">
        <f>IF(OR(Assumptions!$B$33=0,Assumptions!B12&lt;=0),B5,MAX(B5+B7,0))</f>
        <v>282233480.9641277</v>
      </c>
    </row>
    <row r="9" spans="1:2" x14ac:dyDescent="0.25">
      <c r="A9" t="s">
        <v>60</v>
      </c>
      <c r="B9" s="18">
        <f>B8*(1+Assumptions!B12)/(Assumptions!B26-Assumptions!B12)</f>
        <v>3880668180.905762</v>
      </c>
    </row>
    <row r="10" spans="1:2" x14ac:dyDescent="0.25">
      <c r="A10" t="s">
        <v>61</v>
      </c>
      <c r="B10" s="18">
        <f>B9/(1+Assumptions!B26)^(5-0.5*Assumptions!B32)</f>
        <v>2531895200.6232734</v>
      </c>
    </row>
    <row r="11" spans="1:2" x14ac:dyDescent="0.25">
      <c r="A11" t="s">
        <v>62</v>
      </c>
      <c r="B11" s="18">
        <f>Forecast!B17+B10</f>
        <v>3755382181.4863844</v>
      </c>
    </row>
    <row r="12" spans="1:2" x14ac:dyDescent="0.25">
      <c r="A12" t="s">
        <v>63</v>
      </c>
      <c r="B12" s="18">
        <f>-Assumptions!B30</f>
        <v>-360400000</v>
      </c>
    </row>
    <row r="13" spans="1:2" x14ac:dyDescent="0.25">
      <c r="A13" t="s">
        <v>64</v>
      </c>
      <c r="B13" s="18">
        <f>B11+B12</f>
        <v>3394982181.4863844</v>
      </c>
    </row>
    <row r="14" spans="1:2" x14ac:dyDescent="0.25">
      <c r="A14" s="19" t="s">
        <v>65</v>
      </c>
      <c r="B14" s="24">
        <f>B13/Assumptions!B31</f>
        <v>6.208818912740279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564551447.6643102</v>
      </c>
    </row>
    <row r="18" spans="1:2" x14ac:dyDescent="0.25">
      <c r="A18" t="s">
        <v>60</v>
      </c>
      <c r="B18" s="18">
        <f>B17*Assumptions!B13</f>
        <v>4772811623.404082</v>
      </c>
    </row>
    <row r="19" spans="1:2" x14ac:dyDescent="0.25">
      <c r="A19" t="s">
        <v>61</v>
      </c>
      <c r="B19" s="18">
        <f>B18/(1+Assumptions!B26)^(5-0.5*Assumptions!B32)</f>
        <v>3113963441.201834</v>
      </c>
    </row>
    <row r="20" spans="1:2" x14ac:dyDescent="0.25">
      <c r="A20" t="s">
        <v>62</v>
      </c>
      <c r="B20" s="18">
        <f>Forecast!B17+B19</f>
        <v>4337450422.064945</v>
      </c>
    </row>
    <row r="21" spans="1:2" x14ac:dyDescent="0.25">
      <c r="A21" t="s">
        <v>63</v>
      </c>
      <c r="B21" s="18">
        <f>-Assumptions!B30</f>
        <v>-360400000</v>
      </c>
    </row>
    <row r="22" spans="1:2" x14ac:dyDescent="0.25">
      <c r="A22" t="s">
        <v>64</v>
      </c>
      <c r="B22" s="18">
        <f>B20+B21</f>
        <v>3977050422.064945</v>
      </c>
    </row>
    <row r="23" spans="1:2" x14ac:dyDescent="0.25">
      <c r="A23" s="19" t="s">
        <v>65</v>
      </c>
      <c r="B23" s="25">
        <f>B22/Assumptions!B31</f>
        <v>7.273318255422358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750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620.8818912740279</v>
      </c>
    </row>
    <row r="29" spans="1:2" x14ac:dyDescent="0.25">
      <c r="A29" s="19" t="s">
        <v>73</v>
      </c>
      <c r="B29" s="12">
        <f>B28/B26-1</f>
        <v>-0.17215747830129613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0.079546</v>
      </c>
      <c r="B5" s="31">
        <v>7.682675049750903</v>
      </c>
      <c r="C5" s="31">
        <v>8.080834129787679</v>
      </c>
      <c r="D5" s="31">
        <v>8.550509572211398</v>
      </c>
      <c r="E5" s="31">
        <v>9.113352881397882</v>
      </c>
      <c r="F5" s="31">
        <v>9.800736526288034</v>
      </c>
    </row>
    <row r="6" spans="1:6" x14ac:dyDescent="0.25">
      <c r="A6" s="30">
        <v>0.089546</v>
      </c>
      <c r="B6" s="31">
        <v>6.615339541970834</v>
      </c>
      <c r="C6" s="31">
        <v>6.886828343349205</v>
      </c>
      <c r="D6" s="31">
        <v>7.199179583533593</v>
      </c>
      <c r="E6" s="31">
        <v>7.562686759687377</v>
      </c>
      <c r="F6" s="31">
        <v>7.991417613524723</v>
      </c>
    </row>
    <row r="7" spans="1:6" x14ac:dyDescent="0.25">
      <c r="A7" s="30">
        <v>0.099546</v>
      </c>
      <c r="B7" s="31">
        <v>5.79964374632843</v>
      </c>
      <c r="C7" s="31">
        <v>5.991849077512126</v>
      </c>
      <c r="D7" s="32">
        <v>6.208841642695081</v>
      </c>
      <c r="E7" s="31">
        <v>6.455967666102834</v>
      </c>
      <c r="F7" s="31">
        <v>6.740229934482384</v>
      </c>
    </row>
    <row r="8" spans="1:6" x14ac:dyDescent="0.25">
      <c r="A8" s="30">
        <v>0.109546</v>
      </c>
      <c r="B8" s="31">
        <v>5.1557787856256905</v>
      </c>
      <c r="C8" s="31">
        <v>5.295768852799216</v>
      </c>
      <c r="D8" s="31">
        <v>5.4514734575919</v>
      </c>
      <c r="E8" s="31">
        <v>5.625855892492212</v>
      </c>
      <c r="F8" s="31">
        <v>5.822674473863393</v>
      </c>
    </row>
    <row r="9" spans="1:6" x14ac:dyDescent="0.25">
      <c r="A9" s="30">
        <v>0.119546</v>
      </c>
      <c r="B9" s="31">
        <v>4.634469008616923</v>
      </c>
      <c r="C9" s="31">
        <v>4.738690784098042</v>
      </c>
      <c r="D9" s="31">
        <v>4.8532116709566875</v>
      </c>
      <c r="E9" s="31">
        <v>4.97975689053902</v>
      </c>
      <c r="F9" s="31">
        <v>5.120459778435786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2418000000</v>
      </c>
      <c r="C5" s="18">
        <v>2322100000</v>
      </c>
      <c r="D5" s="18">
        <v>2310900000</v>
      </c>
      <c r="E5" s="18">
        <v>2319000000</v>
      </c>
      <c r="F5" s="8" t="s">
        <v>84</v>
      </c>
    </row>
    <row r="6" spans="1:6" x14ac:dyDescent="0.25">
      <c r="A6" t="s">
        <v>44</v>
      </c>
      <c r="B6" s="18">
        <v>355300000</v>
      </c>
      <c r="C6" s="18">
        <v>339200000</v>
      </c>
      <c r="D6" s="18">
        <v>340200000</v>
      </c>
      <c r="E6" s="18">
        <v>415200000</v>
      </c>
      <c r="F6" s="8" t="s">
        <v>85</v>
      </c>
    </row>
    <row r="7" spans="1:6" x14ac:dyDescent="0.25">
      <c r="A7" t="s">
        <v>86</v>
      </c>
      <c r="B7" s="18">
        <v>170800000</v>
      </c>
      <c r="C7" s="18">
        <v>154100000</v>
      </c>
      <c r="D7" s="18">
        <v>140900000</v>
      </c>
      <c r="E7" s="18">
        <v>124800000</v>
      </c>
      <c r="F7" s="8" t="s">
        <v>87</v>
      </c>
    </row>
    <row r="8" spans="1:6" x14ac:dyDescent="0.25">
      <c r="A8" t="s">
        <v>88</v>
      </c>
      <c r="B8" s="18">
        <v>156500000</v>
      </c>
      <c r="C8" s="18">
        <v>122000000</v>
      </c>
      <c r="D8" s="18">
        <v>118900000</v>
      </c>
      <c r="E8" s="18">
        <v>140800000</v>
      </c>
      <c r="F8" s="8" t="s">
        <v>89</v>
      </c>
    </row>
    <row r="9" spans="1:6" x14ac:dyDescent="0.25">
      <c r="A9" t="s">
        <v>90</v>
      </c>
      <c r="B9" s="18">
        <v>24900000</v>
      </c>
      <c r="C9" s="18">
        <v>63400000</v>
      </c>
      <c r="D9" s="18">
        <v>51900000</v>
      </c>
      <c r="E9" s="18">
        <v>49700000</v>
      </c>
      <c r="F9" s="8" t="s">
        <v>91</v>
      </c>
    </row>
    <row r="10" spans="1:6" x14ac:dyDescent="0.25">
      <c r="A10" t="s">
        <v>92</v>
      </c>
      <c r="B10" s="18">
        <v>704900000</v>
      </c>
      <c r="C10" s="18">
        <v>681000000</v>
      </c>
      <c r="D10" s="18">
        <v>684500000</v>
      </c>
      <c r="E10" s="18">
        <v>665300000</v>
      </c>
      <c r="F10" s="8" t="s">
        <v>93</v>
      </c>
    </row>
    <row r="11" spans="1:6" x14ac:dyDescent="0.25">
      <c r="A11" t="s">
        <v>94</v>
      </c>
      <c r="B11" s="18">
        <v>344500000</v>
      </c>
      <c r="C11" s="18">
        <v>343600000</v>
      </c>
      <c r="D11" s="18">
        <v>282800000</v>
      </c>
      <c r="E11" s="18">
        <v>308000000</v>
      </c>
      <c r="F11" s="8" t="s">
        <v>95</v>
      </c>
    </row>
    <row r="12" spans="1:6" x14ac:dyDescent="0.25">
      <c r="A12" t="s">
        <v>32</v>
      </c>
      <c r="B12" s="34">
        <v>546800000</v>
      </c>
      <c r="C12" s="34">
        <v>548800000</v>
      </c>
      <c r="D12" s="34">
        <v>550200000</v>
      </c>
      <c r="E12" s="34">
        <v>570700000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2026-09-19T00:07:46Z</dcterms:modified>
</cp:coreProperties>
</file>