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<sst xmlns="http://schemas.openxmlformats.org/spreadsheetml/2006/main" count="112" uniqueCount="100">
  <si>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Howmet Aerospace Inc. (HWM)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</si>
  <si>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</si>
  <si>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</si>
  <si>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</si>
  <si>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</si>
  <si>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</si>
  <si>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</si>
  <si>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</si>
  <si>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</si>
  <si>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</si>
  <si>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</si>
  <si>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</si>
  <si>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</si>
  <si>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</si>
  <si>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</si>
  <si>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</si>
  <si>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</si>
  <si>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</si>
  <si>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</si>
  <si>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</si>
  <si>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</si>
  <si>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</si>
  <si>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</si>
  <si>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</si>
  <si>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</si>
  <si>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</si>
  <si>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</si>
  <si>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</si>
  <si>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</si>
  <si>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</si>
  <si>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</si>
  <si>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</si>
  <si>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</si>
  <si>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</si>
  <si>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</si>
  <si>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</si>
  <si>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</si>
  <si>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</si>
  <si>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</si>
  <si>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</si>
  <si>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</si>
  <si>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</si>
  <si>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</si>
  <si>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</si>
  <si>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</si>
  <si>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</si>
  <si>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</si>
  <si>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</si>
  <si>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</si>
  <si>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</si>
  <si>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</si>
  <si>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</si>
  <si>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</si>
  <si>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</si>
  <si>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</si>
  <si>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</si>
  <si>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</si>
  <si>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</si>
  <si>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</si>
  <si>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</si>
  <si>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</si>
  <si>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</si>
  <si>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</si>
  <si>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</si>
  <si>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</si>
  <si>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</si>
  <si>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</si>
  <si>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</si>
  <si>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</si>
  <si>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</si>
  <si>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</si>
  <si>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</si>
  <si>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</si>
  <si>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</si>
  <si>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</si>
  <si>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</si>
  <si>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</si>
  <si>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</si>
  <si>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</si>
  <si>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</si>
  <si>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</si>
  <si>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</si>
  <si>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</si>
  <si>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</si>
  <si>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</si>
  <si>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</si>
  <si>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</si>
  <si>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</si>
  <si>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</si>
  <si>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</si>
  <si>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</si>
  <si>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</si>
  <si>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</si>
  <si>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</si>
  <si>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</si>
  <si>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</si>
  <si>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</si>
  <si>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</si>
  <si>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39.0x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</si>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</sst>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0.13371585224230054</v>
      </c>
    </row>
    <row r="7" spans="1:2" x14ac:dyDescent="0.25">
      <c r="A7" t="s">
        <v>5</v>
      </c>
      <c r="B7" s="6">
        <v>0.2093847655425421</v>
      </c>
    </row>
    <row r="8" spans="1:2" x14ac:dyDescent="0.25">
      <c r="A8" t="s">
        <v>6</v>
      </c>
      <c r="B8" s="6">
        <v>0.19790969899665553</v>
      </c>
    </row>
    <row r="9" spans="1:2" x14ac:dyDescent="0.25">
      <c r="A9" t="s">
        <v>7</v>
      </c>
      <c r="B9" s="6">
        <v>0.0398337122258935</v>
      </c>
    </row>
    <row r="10" spans="1:2" x14ac:dyDescent="0.25">
      <c r="A10" t="s">
        <v>8</v>
      </c>
      <c r="B10" s="6">
        <v>0.041290454140066615</v>
      </c>
    </row>
    <row r="11" spans="1:2" x14ac:dyDescent="0.25">
      <c r="A11" t="s">
        <v>9</v>
      </c>
      <c r="B11" s="6">
        <v>0.3367088607594937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0.14884416261243527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1.12462</v>
      </c>
      <c r="C19" s="8" t="s">
        <v>19</v>
      </c>
    </row>
    <row r="20" spans="1:2" x14ac:dyDescent="0.25">
      <c r="A20" t="s">
        <v>20</v>
      </c>
      <c r="B20" s="10">
        <f>B17+B19*B18</f>
        <v>0.11183409999999999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91592720384</v>
      </c>
    </row>
    <row r="23" spans="1:2" x14ac:dyDescent="0.25">
      <c r="A23" t="s">
        <v>24</v>
      </c>
      <c r="B23" s="11">
        <v>3213000000</v>
      </c>
    </row>
    <row r="24" spans="1:2" x14ac:dyDescent="0.25">
      <c r="A24" t="s">
        <v>25</v>
      </c>
      <c r="B24" s="10">
        <f>B22/(B22+B23)</f>
        <v>0.9661096399353741</v>
      </c>
    </row>
    <row r="25" spans="1:2" x14ac:dyDescent="0.25">
      <c r="A25" t="s">
        <v>26</v>
      </c>
      <c r="B25" s="10">
        <f>1-B24</f>
        <v>0.03389036006462587</v>
      </c>
    </row>
    <row r="26" spans="1:2" x14ac:dyDescent="0.25">
      <c r="A26" t="s">
        <v>27</v>
      </c>
      <c r="B26" s="12">
        <f>B24*B20+B25*B21*(1-B8)</f>
        <v>0.10940261487618189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8252000000</v>
      </c>
      <c r="C29" s="8" t="s">
        <v>30</v>
      </c>
    </row>
    <row r="30" spans="1:2" x14ac:dyDescent="0.25">
      <c r="A30" t="s">
        <v>31</v>
      </c>
      <c r="B30" s="11">
        <v>2471000000</v>
      </c>
    </row>
    <row r="31" spans="1:2" x14ac:dyDescent="0.25">
      <c r="A31" t="s">
        <v>32</v>
      </c>
      <c r="B31" s="13">
        <v>406000000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0.13371585224230054</v>
      </c>
      <c r="C5" s="10">
        <f>Assumptions!B6</f>
        <v>0.13371585224230054</v>
      </c>
      <c r="D5" s="10">
        <f>Assumptions!B6</f>
        <v>0.13371585224230054</v>
      </c>
      <c r="E5" s="10">
        <f>Assumptions!B6</f>
        <v>0.13371585224230054</v>
      </c>
      <c r="F5" s="10">
        <f>Assumptions!B6</f>
        <v>0.13371585224230054</v>
      </c>
    </row>
    <row r="6" spans="1:6" x14ac:dyDescent="0.25">
      <c r="A6" t="s">
        <v>43</v>
      </c>
      <c r="B6" s="18">
        <f>Assumptions!B29*(1+B5)</f>
        <v>9355423212.703465</v>
      </c>
      <c r="C6" s="18">
        <f>B6*(1+C5)</f>
        <v>10606391600.67751</v>
      </c>
      <c r="D6" s="18">
        <f>C6*(1+D5)</f>
        <v>12024634292.777681</v>
      </c>
      <c r="E6" s="18">
        <f>D6*(1+E5)</f>
        <v>13632518515.138441</v>
      </c>
      <c r="F6" s="18">
        <f>E6*(1+F5)</f>
        <v>15455402346.59912</v>
      </c>
    </row>
    <row r="7" spans="1:6" x14ac:dyDescent="0.25">
      <c r="A7" t="s">
        <v>5</v>
      </c>
      <c r="B7" s="10">
        <f>Assumptions!B7</f>
        <v>0.2093847655425421</v>
      </c>
      <c r="C7" s="10">
        <f>Assumptions!B7</f>
        <v>0.2093847655425421</v>
      </c>
      <c r="D7" s="10">
        <f>Assumptions!B7</f>
        <v>0.2093847655425421</v>
      </c>
      <c r="E7" s="10">
        <f>Assumptions!B7</f>
        <v>0.2093847655425421</v>
      </c>
      <c r="F7" s="10">
        <f>Assumptions!B7</f>
        <v>0.2093847655425421</v>
      </c>
    </row>
    <row r="8" spans="1:6" x14ac:dyDescent="0.25">
      <c r="A8" t="s">
        <v>44</v>
      </c>
      <c r="B8" s="18">
        <f>B6*B7</f>
        <v>1958883095.9431708</v>
      </c>
      <c r="C8" s="18">
        <f>C6*C7</f>
        <v>2220816818.560248</v>
      </c>
      <c r="D8" s="18">
        <f>D6*D7</f>
        <v>2517775232.128066</v>
      </c>
      <c r="E8" s="18">
        <f>E6*E7</f>
        <v>2854441693.0466266</v>
      </c>
      <c r="F8" s="18">
        <f>F6*F7</f>
        <v>3236125796.7083116</v>
      </c>
    </row>
    <row r="9" spans="1:6" x14ac:dyDescent="0.25">
      <c r="A9" t="s">
        <v>45</v>
      </c>
      <c r="B9" s="18">
        <f>B8*(1-Assumptions!B8)</f>
        <v>1571201132.055421</v>
      </c>
      <c r="C9" s="18">
        <f>C8*(1-Assumptions!B8)</f>
        <v>1781295630.472279</v>
      </c>
      <c r="D9" s="18">
        <f>D8*(1-Assumptions!B8)</f>
        <v>2019483093.796366</v>
      </c>
      <c r="E9" s="18">
        <f>E8*(1-Assumptions!B8)</f>
        <v>2289519996.772265</v>
      </c>
      <c r="F9" s="18">
        <f>F8*(1-Assumptions!B8)</f>
        <v>2595665114.3664575</v>
      </c>
    </row>
    <row r="10" spans="1:6" x14ac:dyDescent="0.25">
      <c r="A10" t="s">
        <v>46</v>
      </c>
      <c r="B10" s="18">
        <f>B6*Assumptions!B9</f>
        <v>372661236.0062738</v>
      </c>
      <c r="C10" s="18">
        <f>C6*Assumptions!B9</f>
        <v>422491950.7765218</v>
      </c>
      <c r="D10" s="18">
        <f>D6*Assumptions!B9</f>
        <v>478985822.04011655</v>
      </c>
      <c r="E10" s="18">
        <f>E6*Assumptions!B9</f>
        <v>543033819.4461896</v>
      </c>
      <c r="F10" s="18">
        <f>F6*Assumptions!B9</f>
        <v>615646049.4098284</v>
      </c>
    </row>
    <row r="11" spans="1:6" x14ac:dyDescent="0.25">
      <c r="A11" t="s">
        <v>47</v>
      </c>
      <c r="B11" s="18">
        <f>-B6*Assumptions!B10</f>
        <v>-386289673.1250471</v>
      </c>
      <c r="C11" s="18">
        <f>-C6*Assumptions!B10</f>
        <v>-437942725.9793624</v>
      </c>
      <c r="D11" s="18">
        <f>-D6*Assumptions!B10</f>
        <v>-496502610.8170092</v>
      </c>
      <c r="E11" s="18">
        <f>-E6*Assumptions!B10</f>
        <v>-562892880.5629328</v>
      </c>
      <c r="F11" s="18">
        <f>-F6*Assumptions!B10</f>
        <v>-638160581.8085289</v>
      </c>
    </row>
    <row r="12" spans="1:6" x14ac:dyDescent="0.25">
      <c r="A12" t="s">
        <v>48</v>
      </c>
      <c r="B12" s="18">
        <f>-(B6-Assumptions!B29)*Assumptions!B11</f>
        <v>-371532372.884964</v>
      </c>
      <c r="C12" s="18">
        <f>-(C6-B6)*Assumptions!B11</f>
        <v>-421212140.76088095</v>
      </c>
      <c r="D12" s="18">
        <f>-(D6-C6)*Assumptions!B11</f>
        <v>-477534881.13752633</v>
      </c>
      <c r="E12" s="18">
        <f>-(E6-D6)*Assumptions!B11</f>
        <v>-541388864.7442558</v>
      </c>
      <c r="F12" s="18">
        <f>-(F6-E6)*Assumptions!B11</f>
        <v>-613781138.1880258</v>
      </c>
    </row>
    <row r="13" spans="1:6" x14ac:dyDescent="0.25">
      <c r="A13" s="19" t="s">
        <v>49</v>
      </c>
      <c r="B13" s="20">
        <f>B9+B10+B11+B12</f>
        <v>1186040322.051684</v>
      </c>
      <c r="C13" s="20">
        <f>C9+C10+C11+C12</f>
        <v>1344632714.5085573</v>
      </c>
      <c r="D13" s="20">
        <f>D9+D10+D11+D12</f>
        <v>1524431423.881947</v>
      </c>
      <c r="E13" s="20">
        <f>E9+E10+E11+E12</f>
        <v>1728272070.9112656</v>
      </c>
      <c r="F13" s="20">
        <f>F9+F10+F11+F12</f>
        <v>1959369443.7797313</v>
      </c>
    </row>
    <row r="14" spans="1:6" x14ac:dyDescent="0.25">
      <c r="A14" t="s">
        <v>50</v>
      </c>
      <c r="B14" s="21">
        <f>1/(1+Assumptions!$B$26)^(1-0.5*Assumptions!$B$32)</f>
        <v>0.9494135100938443</v>
      </c>
      <c r="C14" s="21">
        <f>1/(1+Assumptions!$B$26)^(2-0.5*Assumptions!$B$32)</f>
        <v>0.8557880586930167</v>
      </c>
      <c r="D14" s="21">
        <f>1/(1+Assumptions!$B$26)^(3-0.5*Assumptions!$B$32)</f>
        <v>0.7713953863255761</v>
      </c>
      <c r="E14" s="21">
        <f>1/(1+Assumptions!$B$26)^(4-0.5*Assumptions!$B$32)</f>
        <v>0.6953250118413231</v>
      </c>
      <c r="F14" s="21">
        <f>1/(1+Assumptions!$B$26)^(5-0.5*Assumptions!$B$32)</f>
        <v>0.6267562402662328</v>
      </c>
    </row>
    <row r="15" spans="1:6" x14ac:dyDescent="0.25">
      <c r="A15" s="19" t="s">
        <v>51</v>
      </c>
      <c r="B15" s="20">
        <f>B13*B14</f>
        <v>1126042705.2719228</v>
      </c>
      <c r="C15" s="20">
        <f>C13*C14</f>
        <v>1150720620.4043996</v>
      </c>
      <c r="D15" s="20">
        <f>D13*D14</f>
        <v>1175939367.1522627</v>
      </c>
      <c r="E15" s="20">
        <f>E13*E14</f>
        <v>1201710798.171404</v>
      </c>
      <c r="F15" s="20">
        <f>F13*F14</f>
        <v>1228047025.875924</v>
      </c>
    </row>
    <row r="17" spans="1:2" x14ac:dyDescent="0.25">
      <c r="A17" s="22" t="s">
        <v>52</v>
      </c>
      <c r="B17" s="23">
        <f>SUM(B15:F15)</f>
        <v>5882460516.875913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1959369443.7797313</v>
      </c>
    </row>
    <row r="5" spans="1:2" x14ac:dyDescent="0.25">
      <c r="A5" t="s">
        <v>56</v>
      </c>
      <c r="B5" s="18">
        <f>IF(Assumptions!$B$33=0,B4,B4-Forecast!F11-Forecast!F10-Forecast!F12)</f>
        <v>2595665114.3664575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0.16796090327771687</v>
      </c>
    </row>
    <row r="7" spans="1:2" x14ac:dyDescent="0.25">
      <c r="A7" t="s">
        <v>58</v>
      </c>
      <c r="B7" s="18">
        <f>-MAX(Forecast!F9,0)*B6</f>
        <v>-435970257.21544844</v>
      </c>
    </row>
    <row r="8" spans="1:2" x14ac:dyDescent="0.25">
      <c r="A8" t="s">
        <v>59</v>
      </c>
      <c r="B8" s="18">
        <f>IF(OR(Assumptions!$B$33=0,Assumptions!B12&lt;=0),B5,MAX(B5+B7,0))</f>
        <v>2159694857.151009</v>
      </c>
    </row>
    <row r="9" spans="1:2" x14ac:dyDescent="0.25">
      <c r="A9" t="s">
        <v>60</v>
      </c>
      <c r="B9" s="18">
        <f>B8*(1+Assumptions!B12)/(Assumptions!B26-Assumptions!B12)</f>
        <v>26227709080.18963</v>
      </c>
    </row>
    <row r="10" spans="1:2" x14ac:dyDescent="0.25">
      <c r="A10" t="s">
        <v>61</v>
      </c>
      <c r="B10" s="18">
        <f>B9/(1+Assumptions!B26)^(5-0.5*Assumptions!B32)</f>
        <v>16438380333.896187</v>
      </c>
    </row>
    <row r="11" spans="1:2" x14ac:dyDescent="0.25">
      <c r="A11" t="s">
        <v>62</v>
      </c>
      <c r="B11" s="18">
        <f>Forecast!B17+B10</f>
        <v>22320840850.7721</v>
      </c>
    </row>
    <row r="12" spans="1:2" x14ac:dyDescent="0.25">
      <c r="A12" t="s">
        <v>63</v>
      </c>
      <c r="B12" s="18">
        <f>-Assumptions!B30</f>
        <v>-2471000000</v>
      </c>
    </row>
    <row r="13" spans="1:2" x14ac:dyDescent="0.25">
      <c r="A13" t="s">
        <v>64</v>
      </c>
      <c r="B13" s="18">
        <f>B11+B12</f>
        <v>19849840850.7721</v>
      </c>
    </row>
    <row r="14" spans="1:2" x14ac:dyDescent="0.25">
      <c r="A14" s="19" t="s">
        <v>65</v>
      </c>
      <c r="B14" s="24">
        <f>B13/Assumptions!B31</f>
        <v>48.89123362259138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3851771846.11814</v>
      </c>
    </row>
    <row r="18" spans="1:2" x14ac:dyDescent="0.25">
      <c r="A18" t="s">
        <v>60</v>
      </c>
      <c r="B18" s="18">
        <f>B17*Assumptions!B13</f>
        <v>77035436922.36281</v>
      </c>
    </row>
    <row r="19" spans="1:2" x14ac:dyDescent="0.25">
      <c r="A19" t="s">
        <v>61</v>
      </c>
      <c r="B19" s="18">
        <f>B18/(1+Assumptions!B26)^(5-0.5*Assumptions!B32)</f>
        <v>48282440812.72665</v>
      </c>
    </row>
    <row r="20" spans="1:2" x14ac:dyDescent="0.25">
      <c r="A20" t="s">
        <v>62</v>
      </c>
      <c r="B20" s="18">
        <f>Forecast!B17+B19</f>
        <v>54164901329.60256</v>
      </c>
    </row>
    <row r="21" spans="1:2" x14ac:dyDescent="0.25">
      <c r="A21" t="s">
        <v>63</v>
      </c>
      <c r="B21" s="18">
        <f>-Assumptions!B30</f>
        <v>-2471000000</v>
      </c>
    </row>
    <row r="22" spans="1:2" x14ac:dyDescent="0.25">
      <c r="A22" t="s">
        <v>64</v>
      </c>
      <c r="B22" s="18">
        <f>B20+B21</f>
        <v>51693901329.60256</v>
      </c>
    </row>
    <row r="23" spans="1:2" x14ac:dyDescent="0.25">
      <c r="A23" s="19" t="s">
        <v>65</v>
      </c>
      <c r="B23" s="25">
        <f>B22/Assumptions!B31</f>
        <v>127.3248801221738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229.67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48.89123362259138</v>
      </c>
    </row>
    <row r="29" spans="1:2" x14ac:dyDescent="0.25">
      <c r="A29" s="19" t="s">
        <v>73</v>
      </c>
      <c r="B29" s="12">
        <f>B28/B26-1</f>
        <v>-0.7871239882327192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0.089403</v>
      </c>
      <c r="B5" s="31">
        <v>62.44164837612364</v>
      </c>
      <c r="C5" s="31">
        <v>64.41971019701565</v>
      </c>
      <c r="D5" s="31">
        <v>66.6822268701159</v>
      </c>
      <c r="E5" s="31">
        <v>69.3010268011131</v>
      </c>
      <c r="F5" s="31">
        <v>72.37434444157157</v>
      </c>
    </row>
    <row r="6" spans="1:6" x14ac:dyDescent="0.25">
      <c r="A6" s="30">
        <v>0.099403</v>
      </c>
      <c r="B6" s="31">
        <v>53.874153786205326</v>
      </c>
      <c r="C6" s="31">
        <v>55.151473832203</v>
      </c>
      <c r="D6" s="31">
        <v>56.581626141596736</v>
      </c>
      <c r="E6" s="31">
        <v>58.19764219646856</v>
      </c>
      <c r="F6" s="31">
        <v>60.04281122530429</v>
      </c>
    </row>
    <row r="7" spans="1:6" x14ac:dyDescent="0.25">
      <c r="A7" s="30">
        <v>0.109403</v>
      </c>
      <c r="B7" s="31">
        <v>47.14339079803763</v>
      </c>
      <c r="C7" s="31">
        <v>47.97584166258625</v>
      </c>
      <c r="D7" s="32">
        <v>48.89097283497573</v>
      </c>
      <c r="E7" s="31">
        <v>49.904403430574725</v>
      </c>
      <c r="F7" s="31">
        <v>51.03595108238379</v>
      </c>
    </row>
    <row r="8" spans="1:6" x14ac:dyDescent="0.25">
      <c r="A8" s="30">
        <v>0.119403</v>
      </c>
      <c r="B8" s="31">
        <v>41.72054703900636</v>
      </c>
      <c r="C8" s="31">
        <v>42.26035963772924</v>
      </c>
      <c r="D8" s="31">
        <v>42.843659780488395</v>
      </c>
      <c r="E8" s="31">
        <v>43.47774379023212</v>
      </c>
      <c r="F8" s="31">
        <v>44.17163691493461</v>
      </c>
    </row>
    <row r="9" spans="1:6" x14ac:dyDescent="0.25">
      <c r="A9" s="30">
        <v>0.129403</v>
      </c>
      <c r="B9" s="31">
        <v>37.261762473778845</v>
      </c>
      <c r="C9" s="31">
        <v>37.60386184128824</v>
      </c>
      <c r="D9" s="31">
        <v>37.96683167520667</v>
      </c>
      <c r="E9" s="31">
        <v>38.35382134724462</v>
      </c>
      <c r="F9" s="31">
        <v>38.768647447677736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8252000000</v>
      </c>
      <c r="C5" s="18">
        <v>7430000000</v>
      </c>
      <c r="D5" s="18">
        <v>6640000000</v>
      </c>
      <c r="E5" s="18">
        <v>5663000000</v>
      </c>
      <c r="F5" s="8" t="s">
        <v>84</v>
      </c>
    </row>
    <row r="6" spans="1:6" x14ac:dyDescent="0.25">
      <c r="A6" t="s">
        <v>44</v>
      </c>
      <c r="B6" s="18">
        <v>2130000000</v>
      </c>
      <c r="C6" s="18">
        <v>1654000000</v>
      </c>
      <c r="D6" s="18">
        <v>1226000000</v>
      </c>
      <c r="E6" s="18">
        <v>975000000</v>
      </c>
      <c r="F6" s="8" t="s">
        <v>85</v>
      </c>
    </row>
    <row r="7" spans="1:6" x14ac:dyDescent="0.25">
      <c r="A7" t="s">
        <v>86</v>
      </c>
      <c r="B7" s="18">
        <v>283000000</v>
      </c>
      <c r="C7" s="18">
        <v>277000000</v>
      </c>
      <c r="D7" s="18">
        <v>272000000</v>
      </c>
      <c r="E7" s="18">
        <v>265000000</v>
      </c>
      <c r="F7" s="8" t="s">
        <v>87</v>
      </c>
    </row>
    <row r="8" spans="1:6" x14ac:dyDescent="0.25">
      <c r="A8" t="s">
        <v>88</v>
      </c>
      <c r="B8" s="18">
        <v>453000000</v>
      </c>
      <c r="C8" s="18">
        <v>321000000</v>
      </c>
      <c r="D8" s="18">
        <v>219000000</v>
      </c>
      <c r="E8" s="18">
        <v>193000000</v>
      </c>
      <c r="F8" s="8" t="s">
        <v>89</v>
      </c>
    </row>
    <row r="9" spans="1:6" x14ac:dyDescent="0.25">
      <c r="A9" t="s">
        <v>90</v>
      </c>
      <c r="B9" s="18">
        <v>98000000</v>
      </c>
      <c r="C9" s="18">
        <v>266000000</v>
      </c>
      <c r="D9" s="18">
        <v>345000000</v>
      </c>
      <c r="E9" s="18">
        <v>203000000</v>
      </c>
      <c r="F9" s="8" t="s">
        <v>91</v>
      </c>
    </row>
    <row r="10" spans="1:6" x14ac:dyDescent="0.25">
      <c r="A10" t="s">
        <v>92</v>
      </c>
      <c r="B10" s="18">
        <v>3213000000</v>
      </c>
      <c r="C10" s="18">
        <v>3471000000</v>
      </c>
      <c r="D10" s="18">
        <v>3835000000</v>
      </c>
      <c r="E10" s="18">
        <v>4277000000</v>
      </c>
      <c r="F10" s="8" t="s">
        <v>93</v>
      </c>
    </row>
    <row r="11" spans="1:6" x14ac:dyDescent="0.25">
      <c r="A11" t="s">
        <v>94</v>
      </c>
      <c r="B11" s="18">
        <v>742000000</v>
      </c>
      <c r="C11" s="18">
        <v>564000000</v>
      </c>
      <c r="D11" s="18">
        <v>610000000</v>
      </c>
      <c r="E11" s="18">
        <v>791000000</v>
      </c>
      <c r="F11" s="8" t="s">
        <v>95</v>
      </c>
    </row>
    <row r="12" spans="1:6" x14ac:dyDescent="0.25">
      <c r="A12" t="s">
        <v>32</v>
      </c>
      <c r="B12" s="34">
        <v>406000000</v>
      </c>
      <c r="C12" s="34">
        <v>410000000</v>
      </c>
      <c r="D12" s="34">
        <v>415956582</v>
      </c>
      <c r="E12" s="34">
        <v>421438922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2026-09-19T01:04:01Z</dcterms:modified>
</cp:coreProperties>
</file>