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<sst xmlns="http://schemas.openxmlformats.org/spreadsheetml/2006/main" count="120" uniqueCount="107">
  <si>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Howmet Aerospace Inc. (HWM)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</si>
  <si>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</si>
  <si>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</si>
  <si>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</si>
  <si>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</si>
  <si>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</si>
  <si>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</si>
  <si>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</si>
  <si>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</si>
  <si>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</si>
  <si>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</si>
  <si>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</si>
  <si>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</si>
  <si>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</si>
  <si>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</si>
  <si>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</si>
  <si>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</si>
  <si>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</si>
  <si>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</si>
  <si>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</si>
  <si>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</si>
  <si>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</si>
  <si>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</si>
  <si>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</si>
  <si>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14.1x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</si>
  <si>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</si>
  <si>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</si>
  <si>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</si>
  <si>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</si>
  <si>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</si>
  <si>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</si>
  <si>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</si>
  <si>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</si>
  <si>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</si>
  <si>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</si>
  <si>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</si>
  <si>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</si>
  <si>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</si>
  <si>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</si>
  <si>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</si>
  <si>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</si>
  <si>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</si>
  <si>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</si>
  <si>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</si>
  <si>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</si>
  <si>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</si>
  <si>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</si>
  <si>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</si>
  <si>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</si>
  <si>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</si>
  <si>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</si>
  <si>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</si>
  <si>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</si>
  <si>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</si>
  <si>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</si>
  <si>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</si>
  <si>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</si>
  <si>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</si>
  <si>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</si>
  <si>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</si>
  <si>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</si>
  <si>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</si>
  <si>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</si>
  <si>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</si>
  <si>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</si>
  <si>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</si>
  <si>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</si>
  <si>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</si>
  <si>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</si>
  <si>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</si>
  <si>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</si>
  <si>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</si>
  <si>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</si>
  <si>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</si>
  <si>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</si>
  <si>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</si>
  <si>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</si>
  <si>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</si>
  <si>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</si>
  <si>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</si>
  <si>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</si>
  <si>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</si>
  <si>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</si>
  <si>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</si>
  <si>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</si>
  <si>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</si>
  <si>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</si>
  <si>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</si>
  <si>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</si>
  <si>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</si>
  <si>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</si>
  <si>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</si>
  <si>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</si>
  <si>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</si>
  <si>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</si>
  <si>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</si>
  <si>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</si>
  <si>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</si>
  <si>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</si>
  <si>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</si>
  <si>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</si>
  <si>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</si>
  <si>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</si>
  <si>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</si>
  <si>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</si>
  <si>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33.9x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</si>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</sst>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0.2435728962675714</v>
      </c>
    </row>
    <row r="7" spans="1:2" x14ac:dyDescent="0.25">
      <c r="A7" t="s">
        <v>4</v>
      </c>
      <c r="B7" s="5">
        <v>0.2093847655425421</v>
      </c>
    </row>
    <row r="8" spans="1:2" x14ac:dyDescent="0.25">
      <c r="A8" t="s">
        <v>5</v>
      </c>
      <c r="B8" s="5">
        <v>0.19790969899665553</v>
      </c>
    </row>
    <row r="9" spans="1:2" x14ac:dyDescent="0.25">
      <c r="A9" t="s">
        <v>6</v>
      </c>
      <c r="B9" s="5">
        <v>0.0398337122258935</v>
      </c>
    </row>
    <row r="10" spans="1:3" x14ac:dyDescent="0.25">
      <c r="A10" t="s">
        <v>7</v>
      </c>
      <c r="B10" s="5">
        <v>0.041290454140066615</v>
      </c>
      <c r="C10" s="6" t="s">
        <v>8</v>
      </c>
    </row>
    <row r="11" spans="1:2" x14ac:dyDescent="0.25">
      <c r="A11" t="s">
        <v>9</v>
      </c>
      <c r="B11" s="5">
        <v>0.21442741724507097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0.14884416261243527</v>
      </c>
      <c r="C14" s="6" t="s">
        <v>13</v>
      </c>
    </row>
    <row r="15" spans="1:3" x14ac:dyDescent="0.25">
      <c r="A15" t="s">
        <v>14</v>
      </c>
      <c r="B15" s="5">
        <v>0.0398337122258935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1.1366800000000001</v>
      </c>
      <c r="C19" s="6" t="s">
        <v>21</v>
      </c>
    </row>
    <row r="20" spans="1:2" x14ac:dyDescent="0.25">
      <c r="A20" t="s">
        <v>22</v>
      </c>
      <c r="B20" s="9">
        <f>B17+B19*B18</f>
        <v>0.097021564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79221923840</v>
      </c>
    </row>
    <row r="23" spans="1:2" x14ac:dyDescent="0.25">
      <c r="A23" t="s">
        <v>26</v>
      </c>
      <c r="B23" s="10">
        <v>3213000000</v>
      </c>
    </row>
    <row r="24" spans="1:2" x14ac:dyDescent="0.25">
      <c r="A24" t="s">
        <v>27</v>
      </c>
      <c r="B24" s="9">
        <f>B22/(B22+B23)</f>
        <v>0.9610238009531471</v>
      </c>
    </row>
    <row r="25" spans="1:2" x14ac:dyDescent="0.25">
      <c r="A25" t="s">
        <v>28</v>
      </c>
      <c r="B25" s="9">
        <f>1-B24</f>
        <v>0.0389761990468529</v>
      </c>
    </row>
    <row r="26" spans="1:2" x14ac:dyDescent="0.25">
      <c r="A26" t="s">
        <v>29</v>
      </c>
      <c r="B26" s="11">
        <f>B24*B20+B25*B21*(1-B8)</f>
        <v>0.09489506531877469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8252000000</v>
      </c>
      <c r="C29" s="6" t="s">
        <v>32</v>
      </c>
    </row>
    <row r="30" spans="1:2" x14ac:dyDescent="0.25">
      <c r="A30" t="s">
        <v>33</v>
      </c>
      <c r="B30" s="10">
        <v>2471000000</v>
      </c>
    </row>
    <row r="31" spans="1:2" x14ac:dyDescent="0.25">
      <c r="A31" t="s">
        <v>34</v>
      </c>
      <c r="B31" s="12">
        <v>406000000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0.2435728962675714</v>
      </c>
      <c r="C5" s="5">
        <v>0.1350026790292027</v>
      </c>
      <c r="D5" s="5">
        <v>0.12125234415055237</v>
      </c>
      <c r="E5" s="5">
        <v>0.10750200927190204</v>
      </c>
      <c r="F5" s="5">
        <v>0.09375167439325169</v>
      </c>
      <c r="G5" s="5">
        <v>0.08000133951460135</v>
      </c>
      <c r="H5" s="5">
        <v>0.06625100463595102</v>
      </c>
      <c r="I5" s="5">
        <v>0.052500669757300666</v>
      </c>
      <c r="J5" s="5">
        <v>0.03875033487865033</v>
      </c>
      <c r="K5" s="5">
        <v>0.024999999999999994</v>
      </c>
    </row>
    <row r="6" spans="1:11" x14ac:dyDescent="0.25">
      <c r="A6" t="s">
        <v>50</v>
      </c>
      <c r="B6" s="18">
        <f>Assumptions!B29*(1+B5)</f>
        <v>10261963540</v>
      </c>
      <c r="C6" s="18">
        <f>B6*(1+C5)</f>
        <v>11647356110</v>
      </c>
      <c r="D6" s="18">
        <f>C6*(1+D5)</f>
        <v>13059625341.49376</v>
      </c>
      <c r="E6" s="18">
        <f>D6*(1+E5)</f>
        <v>14463561306.04259</v>
      </c>
      <c r="F6" s="18">
        <f>E6*(1+F5)</f>
        <v>15819544396.173527</v>
      </c>
      <c r="G6" s="18">
        <f>F6*(1+G5)</f>
        <v>17085129138.378113</v>
      </c>
      <c r="H6" s="18">
        <f>G6*(1+H5)</f>
        <v>18217036108.130623</v>
      </c>
      <c r="I6" s="18">
        <f>H6*(1+I5)</f>
        <v>19173442704.80041</v>
      </c>
      <c r="J6" s="18">
        <f>I6*(1+J5)</f>
        <v>19916420030.388042</v>
      </c>
      <c r="K6" s="18">
        <f>J6*(1+K5)</f>
        <v>20414330531.147743</v>
      </c>
    </row>
    <row r="7" spans="1:11" x14ac:dyDescent="0.25">
      <c r="A7" t="s">
        <v>4</v>
      </c>
      <c r="B7" s="9">
        <f>Assumptions!B7</f>
        <v>0.2093847655425421</v>
      </c>
      <c r="C7" s="9">
        <f>Assumptions!B7</f>
        <v>0.2093847655425421</v>
      </c>
      <c r="D7" s="9">
        <f>Assumptions!B7</f>
        <v>0.2093847655425421</v>
      </c>
      <c r="E7" s="9">
        <f>Assumptions!B7</f>
        <v>0.2093847655425421</v>
      </c>
      <c r="F7" s="9">
        <f>Assumptions!B7</f>
        <v>0.2093847655425421</v>
      </c>
      <c r="G7" s="9">
        <f>Assumptions!B7</f>
        <v>0.2093847655425421</v>
      </c>
      <c r="H7" s="9">
        <f>Assumptions!B7</f>
        <v>0.2093847655425421</v>
      </c>
      <c r="I7" s="9">
        <f>Assumptions!B7</f>
        <v>0.2093847655425421</v>
      </c>
      <c r="J7" s="9">
        <f>Assumptions!B7</f>
        <v>0.2093847655425421</v>
      </c>
      <c r="K7" s="9">
        <f>Assumptions!B7</f>
        <v>0.2093847655425421</v>
      </c>
    </row>
    <row r="8" spans="1:11" x14ac:dyDescent="0.25">
      <c r="A8" t="s">
        <v>51</v>
      </c>
      <c r="B8" s="18">
        <f>B6*B7</f>
        <v>2148698829.8290153</v>
      </c>
      <c r="C8" s="18">
        <f>C6*C7</f>
        <v>2438778928.282845</v>
      </c>
      <c r="D8" s="18">
        <f>D6*D7</f>
        <v>2734486590.202112</v>
      </c>
      <c r="E8" s="18">
        <f>E6*E7</f>
        <v>3028449392.9759116</v>
      </c>
      <c r="F8" s="18">
        <f>F6*F7</f>
        <v>3312371594.3826294</v>
      </c>
      <c r="G8" s="18">
        <f>G6*G7</f>
        <v>3577365758.9033556</v>
      </c>
      <c r="H8" s="18">
        <f>H6*H7</f>
        <v>3814369834.380954</v>
      </c>
      <c r="I8" s="18">
        <f>I6*I7</f>
        <v>4014626805.387998</v>
      </c>
      <c r="J8" s="18">
        <f>J6*J7</f>
        <v>4170194938.509589</v>
      </c>
      <c r="K8" s="18">
        <f>K6*K7</f>
        <v>4274449811.972329</v>
      </c>
    </row>
    <row r="9" spans="1:11" x14ac:dyDescent="0.25">
      <c r="A9" t="s">
        <v>52</v>
      </c>
      <c r="B9" s="18">
        <f>B8*(1-Assumptions!B8)</f>
        <v>1723450491.1830888</v>
      </c>
      <c r="C9" s="18">
        <f>C8*(1-Assumptions!B8)</f>
        <v>1956120924.667001</v>
      </c>
      <c r="D9" s="18">
        <f>D8*(1-Assumptions!B8)</f>
        <v>2193305172.224821</v>
      </c>
      <c r="E9" s="18">
        <f>E8*(1-Assumptions!B8)</f>
        <v>2429089885.185445</v>
      </c>
      <c r="F9" s="18">
        <f>F8*(1-Assumptions!B8)</f>
        <v>2656821129.173291</v>
      </c>
      <c r="G9" s="18">
        <f>G8*(1-Assumptions!B8)</f>
        <v>2869370378.35785</v>
      </c>
      <c r="H9" s="18">
        <f>H8*(1-Assumptions!B8)</f>
        <v>3059469048.5966964</v>
      </c>
      <c r="I9" s="18">
        <f>I8*(1-Assumptions!B8)</f>
        <v>3220093222.7497544</v>
      </c>
      <c r="J9" s="18">
        <f>J8*(1-Assumptions!B8)</f>
        <v>3344872913.47178</v>
      </c>
      <c r="K9" s="18">
        <f>K8*(1-Assumptions!B8)</f>
        <v>3428494736.3085747</v>
      </c>
    </row>
    <row r="10" spans="1:11" x14ac:dyDescent="0.25">
      <c r="A10" t="s">
        <v>53</v>
      </c>
      <c r="B10" s="18">
        <f>B6*Assumptions!B9</f>
        <v>408772102.5249713</v>
      </c>
      <c r="C10" s="18">
        <f>C6*Assumptions!B9</f>
        <v>463957431.47824234</v>
      </c>
      <c r="D10" s="18">
        <f>D6*Assumptions!B9</f>
        <v>520213357.6310485</v>
      </c>
      <c r="E10" s="18">
        <f>E6*Assumptions!B9</f>
        <v>576137338.8264688</v>
      </c>
      <c r="F10" s="18">
        <f>F6*Assumptions!B9</f>
        <v>630151179.0219223</v>
      </c>
      <c r="G10" s="18">
        <f>G6*Assumptions!B9</f>
        <v>680564117.4403815</v>
      </c>
      <c r="H10" s="18">
        <f>H6*Assumptions!B9</f>
        <v>725652173.9399861</v>
      </c>
      <c r="I10" s="18">
        <f>I6*Assumptions!B9</f>
        <v>763749399.0826766</v>
      </c>
      <c r="J10" s="18">
        <f>J6*Assumptions!B9</f>
        <v>793344944.0604984</v>
      </c>
      <c r="K10" s="18">
        <f>K6*Assumptions!B9</f>
        <v>813178567.6620108</v>
      </c>
    </row>
    <row r="11" spans="1:11" x14ac:dyDescent="0.25">
      <c r="A11" t="s">
        <v>54</v>
      </c>
      <c r="B11" s="18">
        <f>-B6*B19</f>
        <v>-423721134.9354057</v>
      </c>
      <c r="C11" s="18">
        <f>-C6*C19</f>
        <v>-515545139.48995465</v>
      </c>
      <c r="D11" s="18">
        <f>-D6*D19</f>
        <v>-616874531.0876704</v>
      </c>
      <c r="E11" s="18">
        <f>-E6*E19</f>
        <v>-726181166.5677896</v>
      </c>
      <c r="F11" s="18">
        <f>-F6*F19</f>
        <v>-841283764.9928359</v>
      </c>
      <c r="G11" s="18">
        <f>-G6*G19</f>
        <v>-959371306.0888578</v>
      </c>
      <c r="H11" s="18">
        <f>-H6*H19</f>
        <v>-1077078803.925238</v>
      </c>
      <c r="I11" s="18">
        <f>-I6*I19</f>
        <v>-1190617163.4798634</v>
      </c>
      <c r="J11" s="18">
        <f>-J6*J19</f>
        <v>-1295953398.616682</v>
      </c>
      <c r="K11" s="18">
        <f>-K6*K19</f>
        <v>-1389031640.4552968</v>
      </c>
    </row>
    <row r="12" spans="1:11" x14ac:dyDescent="0.25">
      <c r="A12" t="s">
        <v>55</v>
      </c>
      <c r="B12" s="18">
        <f>-(B6-Assumptions!B29)*Assumptions!B11</f>
        <v>-430991290.6389599</v>
      </c>
      <c r="C12" s="18">
        <f>-(C6-B6)*Assumptions!B11</f>
        <v>-297066150.6556112</v>
      </c>
      <c r="D12" s="18">
        <f>-(D6-C6)*Assumptions!B11</f>
        <v>-302829243.763888</v>
      </c>
      <c r="E12" s="18">
        <f>-(E6-D6)*Assumptions!B11</f>
        <v>-301042362.85567313</v>
      </c>
      <c r="F12" s="18">
        <f>-(F6-E6)*Assumptions!B11</f>
        <v>-290759951.8447672</v>
      </c>
      <c r="G12" s="18">
        <f>-(G6-F6)*Assumptions!B11</f>
        <v>-271376067.5756984</v>
      </c>
      <c r="H12" s="18">
        <f>-(H6-G6)*Assumptions!B11</f>
        <v>-242711888.0857254</v>
      </c>
      <c r="I12" s="18">
        <f>-(I6-H6)*Assumptions!B11</f>
        <v>-205079796.360051</v>
      </c>
      <c r="J12" s="18">
        <f>-(J6-I6)*Assumptions!B11</f>
        <v>-159314708.99740595</v>
      </c>
      <c r="K12" s="18">
        <f>-(K6-J6)*Assumptions!B11</f>
        <v>-106765662.69710259</v>
      </c>
    </row>
    <row r="13" spans="1:11" x14ac:dyDescent="0.25">
      <c r="A13" s="19" t="s">
        <v>56</v>
      </c>
      <c r="B13" s="20">
        <f>B9+B10+B11+B12</f>
        <v>1277510168.1336944</v>
      </c>
      <c r="C13" s="20">
        <f>C9+C10+C11+C12</f>
        <v>1607467065.9996772</v>
      </c>
      <c r="D13" s="20">
        <f>D9+D10+D11+D12</f>
        <v>1793814755.0043116</v>
      </c>
      <c r="E13" s="20">
        <f>E9+E10+E11+E12</f>
        <v>1978003694.5884511</v>
      </c>
      <c r="F13" s="20">
        <f>F9+F10+F11+F12</f>
        <v>2154928591.35761</v>
      </c>
      <c r="G13" s="20">
        <f>G9+G10+G11+G12</f>
        <v>2319187122.1336756</v>
      </c>
      <c r="H13" s="20">
        <f>H9+H10+H11+H12</f>
        <v>2465330530.525719</v>
      </c>
      <c r="I13" s="20">
        <f>I9+I10+I11+I12</f>
        <v>2588145661.9925165</v>
      </c>
      <c r="J13" s="20">
        <f>J9+J10+J11+J12</f>
        <v>2682949749.91819</v>
      </c>
      <c r="K13" s="20">
        <f>K9+K10+K11+K12</f>
        <v>2745876000.818186</v>
      </c>
    </row>
    <row r="14" spans="1:11" x14ac:dyDescent="0.25">
      <c r="A14" t="s">
        <v>57</v>
      </c>
      <c r="B14" s="21">
        <f>1/(1+Assumptions!$B$26)^(1-0.5*Assumptions!$B$32)</f>
        <v>0.9556827581342039</v>
      </c>
      <c r="C14" s="21">
        <f>1/(1+Assumptions!$B$26)^(2-0.5*Assumptions!$B$32)</f>
        <v>0.8728532883249048</v>
      </c>
      <c r="D14" s="21">
        <f>1/(1+Assumptions!$B$26)^(3-0.5*Assumptions!$B$32)</f>
        <v>0.7972026872463587</v>
      </c>
      <c r="E14" s="21">
        <f>1/(1+Assumptions!$B$26)^(4-0.5*Assumptions!$B$32)</f>
        <v>0.7281087590017187</v>
      </c>
      <c r="F14" s="21">
        <f>1/(1+Assumptions!$B$26)^(5-0.5*Assumptions!$B$32)</f>
        <v>0.6650032337023388</v>
      </c>
      <c r="G14" s="21">
        <f>1/(1+Assumptions!$B$26)^(6-0.5*Assumptions!$B$32)</f>
        <v>0.6073670936755253</v>
      </c>
      <c r="H14" s="21">
        <f>1/(1+Assumptions!$B$26)^(7-0.5*Assumptions!$B$32)</f>
        <v>0.5547263047520381</v>
      </c>
      <c r="I14" s="21">
        <f>1/(1+Assumptions!$B$26)^(8-0.5*Assumptions!$B$32)</f>
        <v>0.5066479175248922</v>
      </c>
      <c r="J14" s="21">
        <f>1/(1+Assumptions!$B$26)^(9-0.5*Assumptions!$B$32)</f>
        <v>0.46273650651387627</v>
      </c>
      <c r="K14" s="21">
        <f>1/(1+Assumptions!$B$26)^(10-0.5*Assumptions!$B$32)</f>
        <v>0.42263091794933993</v>
      </c>
    </row>
    <row r="15" spans="1:11" x14ac:dyDescent="0.25">
      <c r="A15" s="19" t="s">
        <v>58</v>
      </c>
      <c r="B15" s="20">
        <f>B13*B14</f>
        <v>1220894441.0264995</v>
      </c>
      <c r="C15" s="20">
        <f>C13*C14</f>
        <v>1403082914.4318051</v>
      </c>
      <c r="D15" s="20">
        <f>D13*D14</f>
        <v>1430033943.1116056</v>
      </c>
      <c r="E15" s="20">
        <f>E13*E14</f>
        <v>1440201815.3676116</v>
      </c>
      <c r="F15" s="20">
        <f>F13*F14</f>
        <v>1433034481.6504366</v>
      </c>
      <c r="G15" s="20">
        <f>G13*G14</f>
        <v>1408597942.0600362</v>
      </c>
      <c r="H15" s="20">
        <f>H13*H14</f>
        <v>1367583695.190914</v>
      </c>
      <c r="I15" s="20">
        <f>I13*I14</f>
        <v>1311278609.8995922</v>
      </c>
      <c r="J15" s="20">
        <f>J13*J14</f>
        <v>1241498794.4294212</v>
      </c>
      <c r="K15" s="20">
        <f>K13*K14</f>
        <v>1160492094.8008523</v>
      </c>
    </row>
    <row r="17" spans="1:2" x14ac:dyDescent="0.25">
      <c r="A17" s="22" t="s">
        <v>59</v>
      </c>
      <c r="B17" s="23">
        <f>SUM(B15:K15)</f>
        <v>13416698731.968773</v>
      </c>
    </row>
    <row r="19" spans="1:11" x14ac:dyDescent="0.25">
      <c r="A19" t="s">
        <v>7</v>
      </c>
      <c r="B19" s="9">
        <f>Assumptions!$B$10+($B$20-Assumptions!$B$10)*0/9</f>
        <v>0.041290454140066615</v>
      </c>
      <c r="C19" s="9">
        <f>Assumptions!$B$10+($B$20-Assumptions!$B$10)*1/9</f>
        <v>0.0442628468315935</v>
      </c>
      <c r="D19" s="9">
        <f>Assumptions!$B$10+($B$20-Assumptions!$B$10)*2/9</f>
        <v>0.04723523952312038</v>
      </c>
      <c r="E19" s="9">
        <f>Assumptions!$B$10+($B$20-Assumptions!$B$10)*3/9</f>
        <v>0.05020763221464726</v>
      </c>
      <c r="F19" s="9">
        <f>Assumptions!$B$10+($B$20-Assumptions!$B$10)*4/9</f>
        <v>0.05318002490617415</v>
      </c>
      <c r="G19" s="9">
        <f>Assumptions!$B$10+($B$20-Assumptions!$B$10)*5/9</f>
        <v>0.05615241759770103</v>
      </c>
      <c r="H19" s="9">
        <f>Assumptions!$B$10+($B$20-Assumptions!$B$10)*6/9</f>
        <v>0.05912481028922791</v>
      </c>
      <c r="I19" s="9">
        <f>Assumptions!$B$10+($B$20-Assumptions!$B$10)*7/9</f>
        <v>0.0620972029807548</v>
      </c>
      <c r="J19" s="9">
        <f>Assumptions!$B$10+($B$20-Assumptions!$B$10)*8/9</f>
        <v>0.06506959567228168</v>
      </c>
      <c r="K19" s="9">
        <f>Assumptions!$B$10+($B$20-Assumptions!$B$10)*9/9</f>
        <v>0.06804198836380856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0.06804198836380856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2745876000.818186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3428494736.3085747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0.16796090327771687</v>
      </c>
    </row>
    <row r="7" spans="1:2" x14ac:dyDescent="0.25">
      <c r="A7" t="s">
        <v>66</v>
      </c>
      <c r="B7" s="18">
        <f>-MAX(B5,0)*B6</f>
        <v>-575853072.793286</v>
      </c>
    </row>
    <row r="8" spans="1:2" x14ac:dyDescent="0.25">
      <c r="A8" t="s">
        <v>67</v>
      </c>
      <c r="B8" s="18">
        <f>IF(OR(Assumptions!$B$33=0,Assumptions!B12&lt;=0),B5,MAX(B5+B7,0))</f>
        <v>2852641663.515289</v>
      </c>
    </row>
    <row r="9" spans="1:2" x14ac:dyDescent="0.25">
      <c r="A9" t="s">
        <v>68</v>
      </c>
      <c r="B9" s="18">
        <f>B8*(1+Assumptions!B12)/(Assumptions!B26-Assumptions!B12)</f>
        <v>41833535626.12323</v>
      </c>
    </row>
    <row r="10" spans="1:2" x14ac:dyDescent="0.25">
      <c r="A10" t="s">
        <v>69</v>
      </c>
      <c r="B10" s="18">
        <f>B9/(1+Assumptions!B26)^(10-0.5*Assumptions!B32)</f>
        <v>17680145562.734875</v>
      </c>
    </row>
    <row r="11" spans="1:2" x14ac:dyDescent="0.25">
      <c r="A11" t="s">
        <v>70</v>
      </c>
      <c r="B11" s="18">
        <f>Forecast!B17+B10</f>
        <v>31096844294.703648</v>
      </c>
    </row>
    <row r="12" spans="1:2" x14ac:dyDescent="0.25">
      <c r="A12" t="s">
        <v>71</v>
      </c>
      <c r="B12" s="18">
        <f>-Assumptions!B30</f>
        <v>-2471000000</v>
      </c>
    </row>
    <row r="13" spans="1:2" x14ac:dyDescent="0.25">
      <c r="A13" t="s">
        <v>72</v>
      </c>
      <c r="B13" s="18">
        <f>B11+B12</f>
        <v>28625844294.703648</v>
      </c>
    </row>
    <row r="14" spans="1:2" x14ac:dyDescent="0.25">
      <c r="A14" s="19" t="s">
        <v>73</v>
      </c>
      <c r="B14" s="24">
        <f>B13/Assumptions!B31</f>
        <v>70.50700565197943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5087628379.63434</v>
      </c>
    </row>
    <row r="18" spans="1:2" x14ac:dyDescent="0.25">
      <c r="A18" t="s">
        <v>68</v>
      </c>
      <c r="B18" s="18">
        <f>B17*Assumptions!B13</f>
        <v>101752567592.6868</v>
      </c>
    </row>
    <row r="19" spans="1:2" x14ac:dyDescent="0.25">
      <c r="A19" t="s">
        <v>69</v>
      </c>
      <c r="B19" s="18">
        <f>B18/(1+Assumptions!B26)^(10-0.5*Assumptions!B32)</f>
        <v>43003781045.39948</v>
      </c>
    </row>
    <row r="20" spans="1:2" x14ac:dyDescent="0.25">
      <c r="A20" t="s">
        <v>70</v>
      </c>
      <c r="B20" s="18">
        <f>Forecast!B17+B19</f>
        <v>56420479777.368256</v>
      </c>
    </row>
    <row r="21" spans="1:2" x14ac:dyDescent="0.25">
      <c r="A21" t="s">
        <v>71</v>
      </c>
      <c r="B21" s="18">
        <f>-Assumptions!B30</f>
        <v>-2471000000</v>
      </c>
    </row>
    <row r="22" spans="1:2" x14ac:dyDescent="0.25">
      <c r="A22" t="s">
        <v>72</v>
      </c>
      <c r="B22" s="18">
        <f>B20+B21</f>
        <v>53949479777.368256</v>
      </c>
    </row>
    <row r="23" spans="1:2" x14ac:dyDescent="0.25">
      <c r="A23" s="19" t="s">
        <v>73</v>
      </c>
      <c r="B23" s="25">
        <f>B22/Assumptions!B31</f>
        <v>132.8804920624834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199.22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70.50700565197943</v>
      </c>
    </row>
    <row r="29" spans="1:2" x14ac:dyDescent="0.25">
      <c r="A29" s="19" t="s">
        <v>81</v>
      </c>
      <c r="B29" s="11">
        <f>B28/B26-1</f>
        <v>-0.6460847020782079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0.074895</v>
      </c>
      <c r="B5" s="31">
        <v>96.45787587858969</v>
      </c>
      <c r="C5" s="31">
        <v>99.29070121884482</v>
      </c>
      <c r="D5" s="31">
        <v>102.81560793503836</v>
      </c>
      <c r="E5" s="31">
        <v>107.2638293636015</v>
      </c>
      <c r="F5" s="31">
        <v>112.98251980170292</v>
      </c>
    </row>
    <row r="6" spans="1:6" x14ac:dyDescent="0.25">
      <c r="A6" s="30">
        <v>0.084895</v>
      </c>
      <c r="B6" s="31">
        <v>80.77550585624614</v>
      </c>
      <c r="C6" s="31">
        <v>82.19023101648325</v>
      </c>
      <c r="D6" s="31">
        <v>83.93900279716982</v>
      </c>
      <c r="E6" s="31">
        <v>86.11309907983865</v>
      </c>
      <c r="F6" s="31">
        <v>88.84038573340915</v>
      </c>
    </row>
    <row r="7" spans="1:6" x14ac:dyDescent="0.25">
      <c r="A7" s="30">
        <v>0.094895</v>
      </c>
      <c r="B7" s="31">
        <v>69.07907498481399</v>
      </c>
      <c r="C7" s="31">
        <v>69.70841637165749</v>
      </c>
      <c r="D7" s="32">
        <v>70.50708070099705</v>
      </c>
      <c r="E7" s="31">
        <v>71.51420572053958</v>
      </c>
      <c r="F7" s="31">
        <v>72.78199796427032</v>
      </c>
    </row>
    <row r="8" spans="1:6" x14ac:dyDescent="0.25">
      <c r="A8" s="30">
        <v>0.104895</v>
      </c>
      <c r="B8" s="31">
        <v>60.034379368049024</v>
      </c>
      <c r="C8" s="31">
        <v>60.2096842532752</v>
      </c>
      <c r="D8" s="31">
        <v>60.47256822977752</v>
      </c>
      <c r="E8" s="31">
        <v>60.84057167233592</v>
      </c>
      <c r="F8" s="31">
        <v>61.336254019978085</v>
      </c>
    </row>
    <row r="9" spans="1:6" x14ac:dyDescent="0.25">
      <c r="A9" s="30">
        <v>0.114895</v>
      </c>
      <c r="B9" s="31">
        <v>52.841773972422736</v>
      </c>
      <c r="C9" s="31">
        <v>52.748157462317785</v>
      </c>
      <c r="D9" s="31">
        <v>52.69937762456045</v>
      </c>
      <c r="E9" s="31">
        <v>52.703356599267515</v>
      </c>
      <c r="F9" s="31">
        <v>52.76999966445346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8252000000</v>
      </c>
      <c r="C5" s="18">
        <v>7430000000</v>
      </c>
      <c r="D5" s="18">
        <v>6640000000</v>
      </c>
      <c r="E5" s="18">
        <v>5663000000</v>
      </c>
      <c r="F5" s="6" t="s">
        <v>91</v>
      </c>
    </row>
    <row r="6" spans="1:6" x14ac:dyDescent="0.25">
      <c r="A6" t="s">
        <v>51</v>
      </c>
      <c r="B6" s="18">
        <v>2130000000</v>
      </c>
      <c r="C6" s="18">
        <v>1654000000</v>
      </c>
      <c r="D6" s="18">
        <v>1226000000</v>
      </c>
      <c r="E6" s="18">
        <v>975000000</v>
      </c>
      <c r="F6" s="6" t="s">
        <v>92</v>
      </c>
    </row>
    <row r="7" spans="1:6" x14ac:dyDescent="0.25">
      <c r="A7" t="s">
        <v>93</v>
      </c>
      <c r="B7" s="18">
        <v>283000000</v>
      </c>
      <c r="C7" s="18">
        <v>277000000</v>
      </c>
      <c r="D7" s="18">
        <v>272000000</v>
      </c>
      <c r="E7" s="18">
        <v>265000000</v>
      </c>
      <c r="F7" s="6" t="s">
        <v>94</v>
      </c>
    </row>
    <row r="8" spans="1:6" x14ac:dyDescent="0.25">
      <c r="A8" t="s">
        <v>95</v>
      </c>
      <c r="B8" s="18">
        <v>453000000</v>
      </c>
      <c r="C8" s="18">
        <v>321000000</v>
      </c>
      <c r="D8" s="18">
        <v>219000000</v>
      </c>
      <c r="E8" s="18">
        <v>193000000</v>
      </c>
      <c r="F8" s="6" t="s">
        <v>96</v>
      </c>
    </row>
    <row r="9" spans="1:6" x14ac:dyDescent="0.25">
      <c r="A9" t="s">
        <v>97</v>
      </c>
      <c r="B9" s="18">
        <v>98000000</v>
      </c>
      <c r="C9" s="18">
        <v>266000000</v>
      </c>
      <c r="D9" s="18">
        <v>345000000</v>
      </c>
      <c r="E9" s="18">
        <v>203000000</v>
      </c>
      <c r="F9" s="6" t="s">
        <v>98</v>
      </c>
    </row>
    <row r="10" spans="1:6" x14ac:dyDescent="0.25">
      <c r="A10" t="s">
        <v>99</v>
      </c>
      <c r="B10" s="18">
        <v>3213000000</v>
      </c>
      <c r="C10" s="18">
        <v>3471000000</v>
      </c>
      <c r="D10" s="18">
        <v>3835000000</v>
      </c>
      <c r="E10" s="18">
        <v>4277000000</v>
      </c>
      <c r="F10" s="6" t="s">
        <v>100</v>
      </c>
    </row>
    <row r="11" spans="1:6" x14ac:dyDescent="0.25">
      <c r="A11" t="s">
        <v>101</v>
      </c>
      <c r="B11" s="18">
        <v>742000000</v>
      </c>
      <c r="C11" s="18">
        <v>564000000</v>
      </c>
      <c r="D11" s="18">
        <v>610000000</v>
      </c>
      <c r="E11" s="18">
        <v>791000000</v>
      </c>
      <c r="F11" s="6" t="s">
        <v>102</v>
      </c>
    </row>
    <row r="12" spans="1:6" x14ac:dyDescent="0.25">
      <c r="A12" t="s">
        <v>34</v>
      </c>
      <c r="B12" s="34">
        <v>406000000</v>
      </c>
      <c r="C12" s="34">
        <v>410000000</v>
      </c>
      <c r="D12" s="34">
        <v>415956582</v>
      </c>
      <c r="E12" s="34">
        <v>421438922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